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25" yWindow="3855" windowWidth="16920" windowHeight="7485" activeTab="1"/>
  </bookViews>
  <sheets>
    <sheet name="INICIO" sheetId="4" r:id="rId1"/>
    <sheet name="TABLA RESUMEN" sheetId="1" r:id="rId2"/>
    <sheet name="TABLA RESUMEN (Para memoria)" sheetId="12" r:id="rId3"/>
    <sheet name="LEYENDA" sheetId="3" r:id="rId4"/>
    <sheet name="Perfil Uso" sheetId="5" r:id="rId5"/>
    <sheet name="Hoja3" sheetId="9" r:id="rId6"/>
    <sheet name="Hoja2" sheetId="10" r:id="rId7"/>
    <sheet name="Número Luminaria" sheetId="11" r:id="rId8"/>
  </sheets>
  <externalReferences>
    <externalReference r:id="rId9"/>
  </externalReferences>
  <definedNames>
    <definedName name="_xlnm.Print_Area" localSheetId="7">'Número Luminaria'!$A$3:$N$39</definedName>
  </definedNames>
  <calcPr calcId="125725"/>
</workbook>
</file>

<file path=xl/calcChain.xml><?xml version="1.0" encoding="utf-8"?>
<calcChain xmlns="http://schemas.openxmlformats.org/spreadsheetml/2006/main">
  <c r="AD41" i="12"/>
  <c r="AJ24"/>
  <c r="AN75"/>
  <c r="AM72"/>
  <c r="AS72" s="1"/>
  <c r="AL72"/>
  <c r="AO71" s="1"/>
  <c r="AL68"/>
  <c r="AL70" s="1"/>
  <c r="AS64"/>
  <c r="AS63"/>
  <c r="P54"/>
  <c r="AS53"/>
  <c r="AS65" s="1"/>
  <c r="P53"/>
  <c r="AC42"/>
  <c r="N42"/>
  <c r="AF41"/>
  <c r="AK40"/>
  <c r="A40"/>
  <c r="P40" s="1"/>
  <c r="AK39"/>
  <c r="P39"/>
  <c r="Q39" s="1"/>
  <c r="R39" s="1"/>
  <c r="AK38"/>
  <c r="P38"/>
  <c r="T38" s="1"/>
  <c r="AD38" s="1"/>
  <c r="AK37"/>
  <c r="P37"/>
  <c r="T37" s="1"/>
  <c r="AK36"/>
  <c r="A36"/>
  <c r="P36" s="1"/>
  <c r="T36" s="1"/>
  <c r="AD36" s="1"/>
  <c r="AK35"/>
  <c r="P35"/>
  <c r="Q35" s="1"/>
  <c r="R35" s="1"/>
  <c r="AK34"/>
  <c r="P34"/>
  <c r="Q34" s="1"/>
  <c r="R34" s="1"/>
  <c r="A34"/>
  <c r="AK33"/>
  <c r="P33"/>
  <c r="T33" s="1"/>
  <c r="AD33" s="1"/>
  <c r="AK32"/>
  <c r="A32"/>
  <c r="P32" s="1"/>
  <c r="T32" s="1"/>
  <c r="AK31"/>
  <c r="P31"/>
  <c r="Q31" s="1"/>
  <c r="R31" s="1"/>
  <c r="AK30"/>
  <c r="A30"/>
  <c r="P30" s="1"/>
  <c r="Q30" s="1"/>
  <c r="R30" s="1"/>
  <c r="AK29"/>
  <c r="P29"/>
  <c r="T29" s="1"/>
  <c r="N29"/>
  <c r="AK28"/>
  <c r="P28"/>
  <c r="Q28" s="1"/>
  <c r="R28" s="1"/>
  <c r="N28"/>
  <c r="AK27"/>
  <c r="P27"/>
  <c r="T27" s="1"/>
  <c r="AK26"/>
  <c r="P26"/>
  <c r="T26" s="1"/>
  <c r="AD26" s="1"/>
  <c r="AK25"/>
  <c r="P25"/>
  <c r="T25" s="1"/>
  <c r="AK22"/>
  <c r="P22"/>
  <c r="T22" s="1"/>
  <c r="AD22" s="1"/>
  <c r="AK21"/>
  <c r="P21"/>
  <c r="T21" s="1"/>
  <c r="AK20"/>
  <c r="N20"/>
  <c r="A20"/>
  <c r="P20" s="1"/>
  <c r="T20" s="1"/>
  <c r="AK19"/>
  <c r="O19"/>
  <c r="N19"/>
  <c r="A19"/>
  <c r="P19" s="1"/>
  <c r="T19" s="1"/>
  <c r="AD19" s="1"/>
  <c r="AK18"/>
  <c r="O18"/>
  <c r="N18"/>
  <c r="A18"/>
  <c r="P18" s="1"/>
  <c r="T18" s="1"/>
  <c r="AK17"/>
  <c r="O17"/>
  <c r="N17"/>
  <c r="A17"/>
  <c r="P17" s="1"/>
  <c r="T17" s="1"/>
  <c r="AK16"/>
  <c r="O16"/>
  <c r="N16"/>
  <c r="A16"/>
  <c r="P16" s="1"/>
  <c r="T16" s="1"/>
  <c r="AK15"/>
  <c r="O15"/>
  <c r="N15"/>
  <c r="A15"/>
  <c r="AK14"/>
  <c r="P14"/>
  <c r="T14" s="1"/>
  <c r="O14"/>
  <c r="N14"/>
  <c r="AK13"/>
  <c r="P13"/>
  <c r="T13" s="1"/>
  <c r="O13"/>
  <c r="N13"/>
  <c r="AK12"/>
  <c r="P12"/>
  <c r="T12" s="1"/>
  <c r="O12"/>
  <c r="N12"/>
  <c r="H12"/>
  <c r="AK11"/>
  <c r="P11"/>
  <c r="T11" s="1"/>
  <c r="O11"/>
  <c r="N11"/>
  <c r="AK10"/>
  <c r="P10"/>
  <c r="T10" s="1"/>
  <c r="O10"/>
  <c r="N10"/>
  <c r="AK9"/>
  <c r="P9"/>
  <c r="T9" s="1"/>
  <c r="AK8"/>
  <c r="P8"/>
  <c r="T8" s="1"/>
  <c r="O8"/>
  <c r="N8"/>
  <c r="AK7"/>
  <c r="P7"/>
  <c r="T7" s="1"/>
  <c r="O7"/>
  <c r="N7"/>
  <c r="AK6"/>
  <c r="P6"/>
  <c r="T6" s="1"/>
  <c r="O6"/>
  <c r="N6"/>
  <c r="AK5"/>
  <c r="P5"/>
  <c r="O5"/>
  <c r="N5"/>
  <c r="H5"/>
  <c r="D5"/>
  <c r="AJ4"/>
  <c r="AS80" i="1"/>
  <c r="AO70"/>
  <c r="AM70"/>
  <c r="AS70" s="1"/>
  <c r="AN73"/>
  <c r="AL70"/>
  <c r="AO69" s="1"/>
  <c r="AP69" s="1"/>
  <c r="AP70" s="1"/>
  <c r="AL68"/>
  <c r="AL66"/>
  <c r="M7" i="11"/>
  <c r="M8"/>
  <c r="M9"/>
  <c r="M10"/>
  <c r="M1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6"/>
  <c r="AT62"/>
  <c r="AT61"/>
  <c r="Q52"/>
  <c r="AT51"/>
  <c r="AT63" s="1"/>
  <c r="Q51"/>
  <c r="AD40"/>
  <c r="O40"/>
  <c r="AG39"/>
  <c r="AD39"/>
  <c r="AC39"/>
  <c r="AL38"/>
  <c r="A38"/>
  <c r="Q38" s="1"/>
  <c r="AL37"/>
  <c r="Q37"/>
  <c r="R37" s="1"/>
  <c r="S37" s="1"/>
  <c r="AL36"/>
  <c r="Q36"/>
  <c r="R36" s="1"/>
  <c r="S36" s="1"/>
  <c r="AL35"/>
  <c r="Q35"/>
  <c r="U35" s="1"/>
  <c r="AL34"/>
  <c r="A34"/>
  <c r="Q34" s="1"/>
  <c r="AL33"/>
  <c r="Q33"/>
  <c r="U33" s="1"/>
  <c r="AL32"/>
  <c r="A32"/>
  <c r="Q32" s="1"/>
  <c r="AL31"/>
  <c r="Q31"/>
  <c r="U31" s="1"/>
  <c r="AL30"/>
  <c r="A30"/>
  <c r="Q30" s="1"/>
  <c r="AL29"/>
  <c r="Q29"/>
  <c r="U29" s="1"/>
  <c r="AL28"/>
  <c r="A28"/>
  <c r="Q28" s="1"/>
  <c r="AL27"/>
  <c r="R27"/>
  <c r="S27" s="1"/>
  <c r="Q27"/>
  <c r="U27" s="1"/>
  <c r="O27"/>
  <c r="AL26"/>
  <c r="Q26"/>
  <c r="U26" s="1"/>
  <c r="O26"/>
  <c r="AL25"/>
  <c r="Q25"/>
  <c r="U25" s="1"/>
  <c r="AL24"/>
  <c r="Q24"/>
  <c r="U24" s="1"/>
  <c r="AL23"/>
  <c r="Q23"/>
  <c r="U23" s="1"/>
  <c r="AL22"/>
  <c r="R22"/>
  <c r="S22" s="1"/>
  <c r="Q22"/>
  <c r="U22" s="1"/>
  <c r="AL21"/>
  <c r="Q21"/>
  <c r="U21" s="1"/>
  <c r="AL20"/>
  <c r="O20"/>
  <c r="A20"/>
  <c r="Q20" s="1"/>
  <c r="AL19"/>
  <c r="P19"/>
  <c r="O19"/>
  <c r="A19"/>
  <c r="Q19" s="1"/>
  <c r="U19" s="1"/>
  <c r="AL18"/>
  <c r="P18"/>
  <c r="O18"/>
  <c r="A18"/>
  <c r="Q18" s="1"/>
  <c r="U18" s="1"/>
  <c r="AL17"/>
  <c r="P17"/>
  <c r="O17"/>
  <c r="A17"/>
  <c r="Q17" s="1"/>
  <c r="U17" s="1"/>
  <c r="AL16"/>
  <c r="P16"/>
  <c r="O16"/>
  <c r="A16"/>
  <c r="Q16" s="1"/>
  <c r="U16" s="1"/>
  <c r="AL15"/>
  <c r="P15"/>
  <c r="O15"/>
  <c r="A15"/>
  <c r="A39" s="1"/>
  <c r="AL14"/>
  <c r="Q14"/>
  <c r="U14" s="1"/>
  <c r="P14"/>
  <c r="O14"/>
  <c r="AL13"/>
  <c r="Q13"/>
  <c r="U13" s="1"/>
  <c r="P13"/>
  <c r="O13"/>
  <c r="AL12"/>
  <c r="Q12"/>
  <c r="U12" s="1"/>
  <c r="P12"/>
  <c r="O12"/>
  <c r="H12"/>
  <c r="M12" s="1"/>
  <c r="AL11"/>
  <c r="Q11"/>
  <c r="U11" s="1"/>
  <c r="P11"/>
  <c r="R11" s="1"/>
  <c r="S11" s="1"/>
  <c r="O11"/>
  <c r="AL10"/>
  <c r="Q10"/>
  <c r="U10" s="1"/>
  <c r="P10"/>
  <c r="R10" s="1"/>
  <c r="S10" s="1"/>
  <c r="O10"/>
  <c r="AL9"/>
  <c r="Q9"/>
  <c r="U9" s="1"/>
  <c r="AL8"/>
  <c r="Q8"/>
  <c r="U8" s="1"/>
  <c r="P8"/>
  <c r="O8"/>
  <c r="AL7"/>
  <c r="Q7"/>
  <c r="U7" s="1"/>
  <c r="P7"/>
  <c r="O7"/>
  <c r="AL6"/>
  <c r="Q6"/>
  <c r="U6" s="1"/>
  <c r="P6"/>
  <c r="O6"/>
  <c r="AL5"/>
  <c r="Q5"/>
  <c r="P5"/>
  <c r="O5"/>
  <c r="H5"/>
  <c r="M5" s="1"/>
  <c r="D5"/>
  <c r="AK4"/>
  <c r="Q10" i="12" l="1"/>
  <c r="R10" s="1"/>
  <c r="Q11"/>
  <c r="R11" s="1"/>
  <c r="S11" s="1"/>
  <c r="AL11" s="1"/>
  <c r="A41"/>
  <c r="Q5"/>
  <c r="R5" s="1"/>
  <c r="Q6"/>
  <c r="R6" s="1"/>
  <c r="S6" s="1"/>
  <c r="Q7"/>
  <c r="R7" s="1"/>
  <c r="Q8"/>
  <c r="R8" s="1"/>
  <c r="S8" s="1"/>
  <c r="Q9"/>
  <c r="R9" s="1"/>
  <c r="S9" s="1"/>
  <c r="Q12"/>
  <c r="R12" s="1"/>
  <c r="S12" s="1"/>
  <c r="Q13"/>
  <c r="R13" s="1"/>
  <c r="Q14"/>
  <c r="R14" s="1"/>
  <c r="S14" s="1"/>
  <c r="Q18"/>
  <c r="R18" s="1"/>
  <c r="Q19"/>
  <c r="R19" s="1"/>
  <c r="AM19" s="1"/>
  <c r="Q16"/>
  <c r="R16" s="1"/>
  <c r="Q21"/>
  <c r="R21" s="1"/>
  <c r="S21" s="1"/>
  <c r="Q22"/>
  <c r="R22" s="1"/>
  <c r="AM22" s="1"/>
  <c r="Q25"/>
  <c r="R25" s="1"/>
  <c r="S25" s="1"/>
  <c r="Q26"/>
  <c r="R26" s="1"/>
  <c r="AM26" s="1"/>
  <c r="Q27"/>
  <c r="R27" s="1"/>
  <c r="S27" s="1"/>
  <c r="Q29"/>
  <c r="R29" s="1"/>
  <c r="S29" s="1"/>
  <c r="Q33"/>
  <c r="R33" s="1"/>
  <c r="AM33" s="1"/>
  <c r="Q36"/>
  <c r="R36" s="1"/>
  <c r="AM36" s="1"/>
  <c r="Q37"/>
  <c r="R37" s="1"/>
  <c r="S37" s="1"/>
  <c r="Q38"/>
  <c r="R38" s="1"/>
  <c r="AM38" s="1"/>
  <c r="S7"/>
  <c r="AJ10"/>
  <c r="AE10"/>
  <c r="AH10"/>
  <c r="AP10" s="1"/>
  <c r="AD10"/>
  <c r="AM10" s="1"/>
  <c r="AJ11"/>
  <c r="AE11"/>
  <c r="AH11"/>
  <c r="AP11" s="1"/>
  <c r="AD11"/>
  <c r="S13"/>
  <c r="AH16"/>
  <c r="AP16" s="1"/>
  <c r="AD16"/>
  <c r="AJ16"/>
  <c r="AE16"/>
  <c r="AJ17"/>
  <c r="AE17"/>
  <c r="AH17"/>
  <c r="AP17" s="1"/>
  <c r="AD17"/>
  <c r="Q17"/>
  <c r="R17" s="1"/>
  <c r="S18"/>
  <c r="S35"/>
  <c r="AJ6"/>
  <c r="AE6"/>
  <c r="AH6"/>
  <c r="AP6" s="1"/>
  <c r="AD6"/>
  <c r="AJ7"/>
  <c r="AE7"/>
  <c r="AH7"/>
  <c r="AP7" s="1"/>
  <c r="AD7"/>
  <c r="AJ8"/>
  <c r="AE8"/>
  <c r="AH8"/>
  <c r="AP8" s="1"/>
  <c r="AD8"/>
  <c r="AJ9"/>
  <c r="AE9"/>
  <c r="AH9"/>
  <c r="AP9" s="1"/>
  <c r="AD9"/>
  <c r="S10"/>
  <c r="AL10" s="1"/>
  <c r="AH12"/>
  <c r="AP12" s="1"/>
  <c r="AD12"/>
  <c r="AJ12"/>
  <c r="AE12"/>
  <c r="AH13"/>
  <c r="AP13" s="1"/>
  <c r="AD13"/>
  <c r="AJ13"/>
  <c r="AE13"/>
  <c r="AH14"/>
  <c r="AP14" s="1"/>
  <c r="AD14"/>
  <c r="AJ14"/>
  <c r="AE14"/>
  <c r="S16"/>
  <c r="AL16" s="1"/>
  <c r="AH18"/>
  <c r="AP18" s="1"/>
  <c r="AD18"/>
  <c r="AN18" s="1"/>
  <c r="AJ18"/>
  <c r="AE18"/>
  <c r="S28"/>
  <c r="S30"/>
  <c r="AJ20"/>
  <c r="AE20"/>
  <c r="Q20"/>
  <c r="R20" s="1"/>
  <c r="AD20"/>
  <c r="AJ21"/>
  <c r="AE21"/>
  <c r="AH21"/>
  <c r="AP21" s="1"/>
  <c r="AJ25"/>
  <c r="AE25"/>
  <c r="AH25"/>
  <c r="AP25" s="1"/>
  <c r="AJ27"/>
  <c r="AE27"/>
  <c r="AH27"/>
  <c r="AP27" s="1"/>
  <c r="T28"/>
  <c r="AJ29"/>
  <c r="AE29"/>
  <c r="AH29"/>
  <c r="AP29" s="1"/>
  <c r="T30"/>
  <c r="S31"/>
  <c r="AJ32"/>
  <c r="AE32"/>
  <c r="AH32"/>
  <c r="AP32" s="1"/>
  <c r="S34"/>
  <c r="T35"/>
  <c r="AJ37"/>
  <c r="AE37"/>
  <c r="AH37"/>
  <c r="AP37" s="1"/>
  <c r="S39"/>
  <c r="T40"/>
  <c r="Q40"/>
  <c r="R40" s="1"/>
  <c r="T5"/>
  <c r="P15"/>
  <c r="T15" s="1"/>
  <c r="AJ19"/>
  <c r="AE19"/>
  <c r="S19"/>
  <c r="AL19" s="1"/>
  <c r="AH19"/>
  <c r="AP19" s="1"/>
  <c r="AH20"/>
  <c r="AP20" s="1"/>
  <c r="AD21"/>
  <c r="AJ22"/>
  <c r="AE22"/>
  <c r="AH22"/>
  <c r="AP22" s="1"/>
  <c r="AD25"/>
  <c r="AJ26"/>
  <c r="AE26"/>
  <c r="AH26"/>
  <c r="AP26" s="1"/>
  <c r="AD27"/>
  <c r="AL27" s="1"/>
  <c r="AD29"/>
  <c r="T31"/>
  <c r="Q32"/>
  <c r="R32" s="1"/>
  <c r="AD32"/>
  <c r="AJ33"/>
  <c r="AE33"/>
  <c r="AH33"/>
  <c r="AP33" s="1"/>
  <c r="T34"/>
  <c r="AJ36"/>
  <c r="AE36"/>
  <c r="AH36"/>
  <c r="AP36" s="1"/>
  <c r="AD37"/>
  <c r="AH38"/>
  <c r="AP38" s="1"/>
  <c r="AE38"/>
  <c r="S38"/>
  <c r="AL38" s="1"/>
  <c r="AO38" s="1"/>
  <c r="AJ38"/>
  <c r="AL73"/>
  <c r="AP71"/>
  <c r="AP72" s="1"/>
  <c r="AO73"/>
  <c r="AP73" s="1"/>
  <c r="AO72"/>
  <c r="A54"/>
  <c r="A55" s="1"/>
  <c r="T39"/>
  <c r="R24" i="11"/>
  <c r="S24" s="1"/>
  <c r="R35"/>
  <c r="S35" s="1"/>
  <c r="AL71" i="1"/>
  <c r="AO71"/>
  <c r="AP71" s="1"/>
  <c r="R18" i="11"/>
  <c r="S18" s="1"/>
  <c r="R5"/>
  <c r="R6"/>
  <c r="S6" s="1"/>
  <c r="R7"/>
  <c r="S7" s="1"/>
  <c r="T7" s="1"/>
  <c r="R8"/>
  <c r="S8" s="1"/>
  <c r="R9"/>
  <c r="S9" s="1"/>
  <c r="T9" s="1"/>
  <c r="R12"/>
  <c r="S12" s="1"/>
  <c r="R13"/>
  <c r="S13" s="1"/>
  <c r="T13" s="1"/>
  <c r="R14"/>
  <c r="S14" s="1"/>
  <c r="R21"/>
  <c r="S21" s="1"/>
  <c r="T21" s="1"/>
  <c r="R23"/>
  <c r="S23" s="1"/>
  <c r="R25"/>
  <c r="S25" s="1"/>
  <c r="T25" s="1"/>
  <c r="R31"/>
  <c r="S31" s="1"/>
  <c r="S5"/>
  <c r="T6"/>
  <c r="T8"/>
  <c r="AI10"/>
  <c r="AQ10" s="1"/>
  <c r="AK10"/>
  <c r="AE10"/>
  <c r="AF10"/>
  <c r="AI6"/>
  <c r="AQ6" s="1"/>
  <c r="AE6"/>
  <c r="AK6"/>
  <c r="AF6"/>
  <c r="AI7"/>
  <c r="AQ7" s="1"/>
  <c r="AE7"/>
  <c r="AK7"/>
  <c r="AF7"/>
  <c r="AI8"/>
  <c r="AQ8" s="1"/>
  <c r="AE8"/>
  <c r="AK8"/>
  <c r="AF8"/>
  <c r="AI9"/>
  <c r="AQ9" s="1"/>
  <c r="AE9"/>
  <c r="AK9"/>
  <c r="AF9"/>
  <c r="AN10"/>
  <c r="T10"/>
  <c r="AI11"/>
  <c r="AQ11" s="1"/>
  <c r="AE11"/>
  <c r="AK11"/>
  <c r="AF11"/>
  <c r="T12"/>
  <c r="T14"/>
  <c r="AK18"/>
  <c r="AF18"/>
  <c r="AI18"/>
  <c r="AQ18" s="1"/>
  <c r="AE18"/>
  <c r="AI19"/>
  <c r="AQ19" s="1"/>
  <c r="AE19"/>
  <c r="AK19"/>
  <c r="AF19"/>
  <c r="R20"/>
  <c r="S20" s="1"/>
  <c r="U20"/>
  <c r="AI22"/>
  <c r="AQ22" s="1"/>
  <c r="AE22"/>
  <c r="AK22"/>
  <c r="AF22"/>
  <c r="T23"/>
  <c r="AI24"/>
  <c r="AQ24" s="1"/>
  <c r="AE24"/>
  <c r="AK24"/>
  <c r="AF24"/>
  <c r="AI27"/>
  <c r="AQ27" s="1"/>
  <c r="AE27"/>
  <c r="AK27"/>
  <c r="AF27"/>
  <c r="T31"/>
  <c r="U32"/>
  <c r="R32"/>
  <c r="S32" s="1"/>
  <c r="AK33"/>
  <c r="AF33"/>
  <c r="AI33"/>
  <c r="AQ33" s="1"/>
  <c r="AE33"/>
  <c r="R34"/>
  <c r="S34" s="1"/>
  <c r="U34"/>
  <c r="AI35"/>
  <c r="AQ35" s="1"/>
  <c r="AE35"/>
  <c r="AK35"/>
  <c r="AF35"/>
  <c r="U5"/>
  <c r="R19"/>
  <c r="S19" s="1"/>
  <c r="T11"/>
  <c r="AK12"/>
  <c r="AF12"/>
  <c r="AI12"/>
  <c r="AQ12" s="1"/>
  <c r="AE12"/>
  <c r="AK13"/>
  <c r="AF13"/>
  <c r="AI13"/>
  <c r="AQ13" s="1"/>
  <c r="AE13"/>
  <c r="AK14"/>
  <c r="AF14"/>
  <c r="AI14"/>
  <c r="AQ14" s="1"/>
  <c r="AE14"/>
  <c r="AK16"/>
  <c r="AF16"/>
  <c r="AI16"/>
  <c r="AQ16" s="1"/>
  <c r="AE16"/>
  <c r="AI17"/>
  <c r="AQ17" s="1"/>
  <c r="AE17"/>
  <c r="AK17"/>
  <c r="AF17"/>
  <c r="T18"/>
  <c r="AM18" s="1"/>
  <c r="AI21"/>
  <c r="AQ21" s="1"/>
  <c r="AE21"/>
  <c r="AK21"/>
  <c r="AF21"/>
  <c r="T22"/>
  <c r="AI23"/>
  <c r="AQ23" s="1"/>
  <c r="AE23"/>
  <c r="AK23"/>
  <c r="AF23"/>
  <c r="T24"/>
  <c r="AM24" s="1"/>
  <c r="AI25"/>
  <c r="AQ25" s="1"/>
  <c r="AE25"/>
  <c r="AK25"/>
  <c r="AF25"/>
  <c r="AK26"/>
  <c r="AF26"/>
  <c r="AI26"/>
  <c r="AQ26" s="1"/>
  <c r="AE26"/>
  <c r="T27"/>
  <c r="AM27" s="1"/>
  <c r="U28"/>
  <c r="R28"/>
  <c r="S28" s="1"/>
  <c r="AK29"/>
  <c r="AF29"/>
  <c r="AI29"/>
  <c r="AQ29" s="1"/>
  <c r="AE29"/>
  <c r="R30"/>
  <c r="S30" s="1"/>
  <c r="U30"/>
  <c r="AI31"/>
  <c r="AQ31" s="1"/>
  <c r="AE31"/>
  <c r="AK31"/>
  <c r="AF31"/>
  <c r="T35"/>
  <c r="AM35" s="1"/>
  <c r="T36"/>
  <c r="T37"/>
  <c r="U38"/>
  <c r="R38"/>
  <c r="S38" s="1"/>
  <c r="R16"/>
  <c r="S16" s="1"/>
  <c r="R17"/>
  <c r="S17" s="1"/>
  <c r="Q15"/>
  <c r="U15" s="1"/>
  <c r="R26"/>
  <c r="S26" s="1"/>
  <c r="R29"/>
  <c r="S29" s="1"/>
  <c r="R33"/>
  <c r="S33" s="1"/>
  <c r="U36"/>
  <c r="U37"/>
  <c r="A52"/>
  <c r="A53" s="1"/>
  <c r="S22" i="12" l="1"/>
  <c r="AL22" s="1"/>
  <c r="AO22" s="1"/>
  <c r="AN13"/>
  <c r="AN9"/>
  <c r="AN7"/>
  <c r="AM11"/>
  <c r="AL37"/>
  <c r="S33"/>
  <c r="AL33" s="1"/>
  <c r="AO33" s="1"/>
  <c r="AQ33" s="1"/>
  <c r="AL21"/>
  <c r="AO19"/>
  <c r="AQ19" s="1"/>
  <c r="Q15"/>
  <c r="R15" s="1"/>
  <c r="S15" s="1"/>
  <c r="AM16"/>
  <c r="AO16" s="1"/>
  <c r="AQ16" s="1"/>
  <c r="S36"/>
  <c r="AL36" s="1"/>
  <c r="AO36" s="1"/>
  <c r="AQ36" s="1"/>
  <c r="S26"/>
  <c r="AL26" s="1"/>
  <c r="AO26" s="1"/>
  <c r="AQ26" s="1"/>
  <c r="AN14"/>
  <c r="AN12"/>
  <c r="AO11"/>
  <c r="AO10"/>
  <c r="AN8"/>
  <c r="AN6"/>
  <c r="AL74"/>
  <c r="AL59"/>
  <c r="AQ38"/>
  <c r="AH34"/>
  <c r="AP34" s="1"/>
  <c r="AD34"/>
  <c r="AJ34"/>
  <c r="AE34"/>
  <c r="AM32"/>
  <c r="S32"/>
  <c r="AL32" s="1"/>
  <c r="AN29"/>
  <c r="AM29"/>
  <c r="AN25"/>
  <c r="AM25"/>
  <c r="T41"/>
  <c r="AJ5"/>
  <c r="AE5"/>
  <c r="AD5"/>
  <c r="AH5"/>
  <c r="S40"/>
  <c r="AN38"/>
  <c r="AH35"/>
  <c r="AP35" s="1"/>
  <c r="AD35"/>
  <c r="AE35"/>
  <c r="AJ35"/>
  <c r="AH28"/>
  <c r="AP28" s="1"/>
  <c r="AD28"/>
  <c r="AL28" s="1"/>
  <c r="AE28"/>
  <c r="AJ28"/>
  <c r="AN22"/>
  <c r="AM20"/>
  <c r="S20"/>
  <c r="AL20" s="1"/>
  <c r="AL18"/>
  <c r="AM17"/>
  <c r="S17"/>
  <c r="AL17" s="1"/>
  <c r="AM14"/>
  <c r="AM13"/>
  <c r="AM12"/>
  <c r="AQ11"/>
  <c r="AQ10"/>
  <c r="AM9"/>
  <c r="AM8"/>
  <c r="AM7"/>
  <c r="AM6"/>
  <c r="R41"/>
  <c r="S5"/>
  <c r="AH39"/>
  <c r="AP39" s="1"/>
  <c r="AD39"/>
  <c r="AJ39"/>
  <c r="AE39"/>
  <c r="AN37"/>
  <c r="AM37"/>
  <c r="AH31"/>
  <c r="AP31" s="1"/>
  <c r="AD31"/>
  <c r="AJ31"/>
  <c r="AE31"/>
  <c r="AN27"/>
  <c r="AM27"/>
  <c r="AO27" s="1"/>
  <c r="AQ27" s="1"/>
  <c r="AQ22"/>
  <c r="AN21"/>
  <c r="AM21"/>
  <c r="AO21" s="1"/>
  <c r="AQ21" s="1"/>
  <c r="AJ15"/>
  <c r="AE15"/>
  <c r="AH15"/>
  <c r="AP15" s="1"/>
  <c r="AD15"/>
  <c r="P41"/>
  <c r="AJ40"/>
  <c r="AE40"/>
  <c r="AD40"/>
  <c r="AH40"/>
  <c r="AP40" s="1"/>
  <c r="AL34"/>
  <c r="AN33"/>
  <c r="AL31"/>
  <c r="AH30"/>
  <c r="AP30" s="1"/>
  <c r="AD30"/>
  <c r="AE30"/>
  <c r="AJ30"/>
  <c r="AL29"/>
  <c r="AL25"/>
  <c r="AN19"/>
  <c r="AM18"/>
  <c r="AN16"/>
  <c r="AL14"/>
  <c r="AL13"/>
  <c r="AL12"/>
  <c r="AN11"/>
  <c r="AN10"/>
  <c r="AL9"/>
  <c r="AL8"/>
  <c r="AL7"/>
  <c r="AL6"/>
  <c r="Q41"/>
  <c r="N47" s="1"/>
  <c r="N46"/>
  <c r="AM22" i="11"/>
  <c r="AM11"/>
  <c r="AL72" i="1"/>
  <c r="AL57"/>
  <c r="AO25" i="11"/>
  <c r="AO21"/>
  <c r="AO31"/>
  <c r="AO23"/>
  <c r="AO14"/>
  <c r="AO13"/>
  <c r="AO12"/>
  <c r="AM10"/>
  <c r="AP10" s="1"/>
  <c r="AR10" s="1"/>
  <c r="AO9"/>
  <c r="AO8"/>
  <c r="AO7"/>
  <c r="AO6"/>
  <c r="AN6"/>
  <c r="T5"/>
  <c r="AM9"/>
  <c r="AM8"/>
  <c r="AM7"/>
  <c r="AM6"/>
  <c r="AP6" s="1"/>
  <c r="AR6" s="1"/>
  <c r="AI36"/>
  <c r="AQ36" s="1"/>
  <c r="AE36"/>
  <c r="AM36" s="1"/>
  <c r="AK36"/>
  <c r="AF36"/>
  <c r="AN29"/>
  <c r="T29"/>
  <c r="AM29" s="1"/>
  <c r="AP29" s="1"/>
  <c r="AR29" s="1"/>
  <c r="AI15"/>
  <c r="AQ15" s="1"/>
  <c r="AE15"/>
  <c r="AK15"/>
  <c r="AF15"/>
  <c r="AN17"/>
  <c r="T17"/>
  <c r="AM17" s="1"/>
  <c r="AP17" s="1"/>
  <c r="AR17" s="1"/>
  <c r="T38"/>
  <c r="AI30"/>
  <c r="AQ30" s="1"/>
  <c r="AE30"/>
  <c r="AK30"/>
  <c r="AF30"/>
  <c r="T28"/>
  <c r="U39"/>
  <c r="AI5"/>
  <c r="AE5"/>
  <c r="AK5"/>
  <c r="AF5"/>
  <c r="AI34"/>
  <c r="AQ34" s="1"/>
  <c r="AE34"/>
  <c r="AK34"/>
  <c r="AF34"/>
  <c r="T32"/>
  <c r="AI20"/>
  <c r="AQ20" s="1"/>
  <c r="AE20"/>
  <c r="AN20" s="1"/>
  <c r="AK20"/>
  <c r="AF20"/>
  <c r="AI37"/>
  <c r="AQ37" s="1"/>
  <c r="AE37"/>
  <c r="AM37" s="1"/>
  <c r="AK37"/>
  <c r="AF37"/>
  <c r="AN33"/>
  <c r="T33"/>
  <c r="AM33" s="1"/>
  <c r="AN26"/>
  <c r="T26"/>
  <c r="AM26" s="1"/>
  <c r="AP26" s="1"/>
  <c r="AR26" s="1"/>
  <c r="AN16"/>
  <c r="T16"/>
  <c r="AM16" s="1"/>
  <c r="AK38"/>
  <c r="AF38"/>
  <c r="AI38"/>
  <c r="AQ38" s="1"/>
  <c r="AE38"/>
  <c r="AO38" s="1"/>
  <c r="AN30"/>
  <c r="T30"/>
  <c r="AM30" s="1"/>
  <c r="AP30" s="1"/>
  <c r="AK28"/>
  <c r="AF28"/>
  <c r="AI28"/>
  <c r="AQ28" s="1"/>
  <c r="AE28"/>
  <c r="AO28" s="1"/>
  <c r="AN19"/>
  <c r="T19"/>
  <c r="AM19" s="1"/>
  <c r="AP19" s="1"/>
  <c r="AR19" s="1"/>
  <c r="AN34"/>
  <c r="T34"/>
  <c r="AM34" s="1"/>
  <c r="AP34" s="1"/>
  <c r="AK32"/>
  <c r="AF32"/>
  <c r="AI32"/>
  <c r="AQ32" s="1"/>
  <c r="AE32"/>
  <c r="AO32" s="1"/>
  <c r="T20"/>
  <c r="R15"/>
  <c r="AO29"/>
  <c r="AO35"/>
  <c r="AM31"/>
  <c r="AO27"/>
  <c r="AM25"/>
  <c r="AO24"/>
  <c r="AM23"/>
  <c r="AO22"/>
  <c r="AM21"/>
  <c r="AO18"/>
  <c r="AM14"/>
  <c r="AM13"/>
  <c r="AM12"/>
  <c r="AO11"/>
  <c r="AN35"/>
  <c r="AP35" s="1"/>
  <c r="AR35" s="1"/>
  <c r="AN27"/>
  <c r="AP27" s="1"/>
  <c r="AR27" s="1"/>
  <c r="AN24"/>
  <c r="AP24" s="1"/>
  <c r="AR24" s="1"/>
  <c r="AN22"/>
  <c r="AP22" s="1"/>
  <c r="AR22" s="1"/>
  <c r="AN18"/>
  <c r="AP18" s="1"/>
  <c r="AR18" s="1"/>
  <c r="AN11"/>
  <c r="AP11" s="1"/>
  <c r="AR11" s="1"/>
  <c r="Q39"/>
  <c r="AN31"/>
  <c r="AN25"/>
  <c r="AN23"/>
  <c r="AN21"/>
  <c r="AN14"/>
  <c r="AN13"/>
  <c r="AN12"/>
  <c r="AO10"/>
  <c r="AN9"/>
  <c r="AN8"/>
  <c r="AN7"/>
  <c r="AN20" i="12" l="1"/>
  <c r="AO37"/>
  <c r="AQ37" s="1"/>
  <c r="AO6"/>
  <c r="AQ6" s="1"/>
  <c r="AO8"/>
  <c r="AQ8" s="1"/>
  <c r="AO12"/>
  <c r="AQ12" s="1"/>
  <c r="AO14"/>
  <c r="AQ14" s="1"/>
  <c r="AN26"/>
  <c r="AO20"/>
  <c r="AQ20" s="1"/>
  <c r="AO7"/>
  <c r="AQ7" s="1"/>
  <c r="AO9"/>
  <c r="AQ9" s="1"/>
  <c r="AO13"/>
  <c r="AQ13" s="1"/>
  <c r="AO25"/>
  <c r="AQ25" s="1"/>
  <c r="AO29"/>
  <c r="AQ29" s="1"/>
  <c r="AN36"/>
  <c r="AN40"/>
  <c r="AN15"/>
  <c r="AN32"/>
  <c r="AO17"/>
  <c r="AQ17" s="1"/>
  <c r="AN30"/>
  <c r="AM30"/>
  <c r="AN31"/>
  <c r="AM31"/>
  <c r="AO31" s="1"/>
  <c r="AQ31" s="1"/>
  <c r="AN39"/>
  <c r="AM39"/>
  <c r="S41"/>
  <c r="Q46" s="1"/>
  <c r="R46" s="1"/>
  <c r="AL5"/>
  <c r="Q47"/>
  <c r="R47" s="1"/>
  <c r="AS74"/>
  <c r="AO18"/>
  <c r="AQ18" s="1"/>
  <c r="AL15"/>
  <c r="AN28"/>
  <c r="AM28"/>
  <c r="AO28" s="1"/>
  <c r="AQ28" s="1"/>
  <c r="AN35"/>
  <c r="AM35"/>
  <c r="AL39"/>
  <c r="AL40"/>
  <c r="AN5"/>
  <c r="AJ41"/>
  <c r="AS73"/>
  <c r="O46"/>
  <c r="N50"/>
  <c r="AN17"/>
  <c r="AM5"/>
  <c r="AL35"/>
  <c r="AM15"/>
  <c r="AL30"/>
  <c r="AM40"/>
  <c r="AH41"/>
  <c r="AP5"/>
  <c r="AE41"/>
  <c r="AC46" s="1"/>
  <c r="AL53" s="1"/>
  <c r="AO32"/>
  <c r="AQ32" s="1"/>
  <c r="AN34"/>
  <c r="AM34"/>
  <c r="AO34" s="1"/>
  <c r="AQ34" s="1"/>
  <c r="AS71" i="1"/>
  <c r="AM20" i="11"/>
  <c r="AO17"/>
  <c r="AP20"/>
  <c r="AO19"/>
  <c r="AO33"/>
  <c r="AO16"/>
  <c r="AO26"/>
  <c r="AP13"/>
  <c r="AR13" s="1"/>
  <c r="AP16"/>
  <c r="AR16" s="1"/>
  <c r="S15"/>
  <c r="P39"/>
  <c r="O44" s="1"/>
  <c r="P44" s="1"/>
  <c r="R39"/>
  <c r="O45" s="1"/>
  <c r="AI39"/>
  <c r="AQ5"/>
  <c r="AO36"/>
  <c r="AN36"/>
  <c r="AM5"/>
  <c r="AP12"/>
  <c r="AR12" s="1"/>
  <c r="AP14"/>
  <c r="AR14" s="1"/>
  <c r="AP36"/>
  <c r="AR36" s="1"/>
  <c r="AR20"/>
  <c r="AN32"/>
  <c r="AR34"/>
  <c r="AK39"/>
  <c r="AM28"/>
  <c r="AO30"/>
  <c r="AM38"/>
  <c r="AP8"/>
  <c r="AR8" s="1"/>
  <c r="AO37"/>
  <c r="AN37"/>
  <c r="AP37" s="1"/>
  <c r="AR37" s="1"/>
  <c r="AE39"/>
  <c r="AD45" s="1"/>
  <c r="AO5"/>
  <c r="AP21"/>
  <c r="AR21" s="1"/>
  <c r="AP23"/>
  <c r="AR23" s="1"/>
  <c r="AP25"/>
  <c r="AR25" s="1"/>
  <c r="AP31"/>
  <c r="AR31" s="1"/>
  <c r="AP33"/>
  <c r="AR33" s="1"/>
  <c r="AO20"/>
  <c r="AM32"/>
  <c r="AO34"/>
  <c r="AF39"/>
  <c r="AD44" s="1"/>
  <c r="AN28"/>
  <c r="AR30"/>
  <c r="AN38"/>
  <c r="AP7"/>
  <c r="AR7" s="1"/>
  <c r="AP9"/>
  <c r="AR9" s="1"/>
  <c r="AN5"/>
  <c r="AO35" i="12" l="1"/>
  <c r="AQ35" s="1"/>
  <c r="AO39"/>
  <c r="AQ39" s="1"/>
  <c r="AO30"/>
  <c r="AQ30" s="1"/>
  <c r="AO40"/>
  <c r="AQ40" s="1"/>
  <c r="AN41"/>
  <c r="R48"/>
  <c r="AP41"/>
  <c r="AM41"/>
  <c r="AL45"/>
  <c r="AL77"/>
  <c r="AC47"/>
  <c r="AE46"/>
  <c r="AS77" s="1"/>
  <c r="AS82" s="1"/>
  <c r="AS75"/>
  <c r="AO15"/>
  <c r="AQ15" s="1"/>
  <c r="AL41"/>
  <c r="AO5"/>
  <c r="AO41" s="1"/>
  <c r="AP32" i="11"/>
  <c r="AR32" s="1"/>
  <c r="AP5"/>
  <c r="AQ39"/>
  <c r="AR5"/>
  <c r="AN15"/>
  <c r="T15"/>
  <c r="S39"/>
  <c r="R45" s="1"/>
  <c r="S45" s="1"/>
  <c r="AP38"/>
  <c r="AR38" s="1"/>
  <c r="AP28"/>
  <c r="AR28" s="1"/>
  <c r="AM45"/>
  <c r="AT53" s="1"/>
  <c r="AN39"/>
  <c r="AM43"/>
  <c r="AL79" i="12" l="1"/>
  <c r="AL78"/>
  <c r="AS50"/>
  <c r="AQ41"/>
  <c r="AW98"/>
  <c r="AW97" s="1"/>
  <c r="AL55"/>
  <c r="AL81" s="1"/>
  <c r="AL47"/>
  <c r="AS55" s="1"/>
  <c r="AW90"/>
  <c r="AY90" s="1"/>
  <c r="AW89"/>
  <c r="AY89" s="1"/>
  <c r="AW88"/>
  <c r="AY88" s="1"/>
  <c r="AW87"/>
  <c r="AY87" s="1"/>
  <c r="AW86"/>
  <c r="AY86" s="1"/>
  <c r="AW85"/>
  <c r="AY85" s="1"/>
  <c r="AW84"/>
  <c r="AY84" s="1"/>
  <c r="AW83"/>
  <c r="AY83" s="1"/>
  <c r="AW80"/>
  <c r="AY80" s="1"/>
  <c r="AW78"/>
  <c r="AY78" s="1"/>
  <c r="AW77"/>
  <c r="AY77" s="1"/>
  <c r="AW76"/>
  <c r="AY76" s="1"/>
  <c r="AW75"/>
  <c r="AY75" s="1"/>
  <c r="AW74"/>
  <c r="AY74" s="1"/>
  <c r="AW73"/>
  <c r="AY73" s="1"/>
  <c r="AW72"/>
  <c r="AY72" s="1"/>
  <c r="AW68"/>
  <c r="AY68" s="1"/>
  <c r="AW67"/>
  <c r="AY67" s="1"/>
  <c r="AW66"/>
  <c r="AY66" s="1"/>
  <c r="AS54"/>
  <c r="AW71"/>
  <c r="AY71" s="1"/>
  <c r="AW70"/>
  <c r="AY70" s="1"/>
  <c r="AW69"/>
  <c r="AY69" s="1"/>
  <c r="AW65"/>
  <c r="AY65" s="1"/>
  <c r="AW82"/>
  <c r="AY82" s="1"/>
  <c r="AW79"/>
  <c r="AY79" s="1"/>
  <c r="AQ5"/>
  <c r="AX67" i="11"/>
  <c r="AZ67" s="1"/>
  <c r="AX65"/>
  <c r="AZ65" s="1"/>
  <c r="AX64"/>
  <c r="AZ64" s="1"/>
  <c r="AX87"/>
  <c r="AZ87" s="1"/>
  <c r="AX86"/>
  <c r="AZ86" s="1"/>
  <c r="AX85"/>
  <c r="AZ85" s="1"/>
  <c r="AX84"/>
  <c r="AZ84" s="1"/>
  <c r="AX83"/>
  <c r="AZ83" s="1"/>
  <c r="AX82"/>
  <c r="AZ82" s="1"/>
  <c r="AX81"/>
  <c r="AZ81" s="1"/>
  <c r="AX80"/>
  <c r="AZ80" s="1"/>
  <c r="AX79"/>
  <c r="AZ79" s="1"/>
  <c r="AX78"/>
  <c r="AZ78" s="1"/>
  <c r="AX77"/>
  <c r="AZ77" s="1"/>
  <c r="AX76"/>
  <c r="AZ76" s="1"/>
  <c r="AX75"/>
  <c r="AZ75" s="1"/>
  <c r="AX74"/>
  <c r="AZ74" s="1"/>
  <c r="AX73"/>
  <c r="AZ73" s="1"/>
  <c r="AX72"/>
  <c r="AZ72" s="1"/>
  <c r="AX71"/>
  <c r="AZ71" s="1"/>
  <c r="AX70"/>
  <c r="AZ70" s="1"/>
  <c r="AX69"/>
  <c r="AZ69" s="1"/>
  <c r="AX68"/>
  <c r="AZ68" s="1"/>
  <c r="AX66"/>
  <c r="AZ66" s="1"/>
  <c r="AX63"/>
  <c r="AZ63" s="1"/>
  <c r="AT52"/>
  <c r="AT64" s="1"/>
  <c r="AX95"/>
  <c r="AX94" s="1"/>
  <c r="AT48"/>
  <c r="AM15"/>
  <c r="T39"/>
  <c r="R44" s="1"/>
  <c r="S44" s="1"/>
  <c r="S46" s="1"/>
  <c r="AO15"/>
  <c r="AO39" s="1"/>
  <c r="Q23" i="1"/>
  <c r="R23" s="1"/>
  <c r="Q25"/>
  <c r="R25" s="1"/>
  <c r="AC40"/>
  <c r="N40"/>
  <c r="AK27"/>
  <c r="AK28"/>
  <c r="AK29"/>
  <c r="AK30"/>
  <c r="AK31"/>
  <c r="AK32"/>
  <c r="AK33"/>
  <c r="AK34"/>
  <c r="AK35"/>
  <c r="AK36"/>
  <c r="AK37"/>
  <c r="AK38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J23"/>
  <c r="AJ25"/>
  <c r="AE23"/>
  <c r="AE25"/>
  <c r="P22"/>
  <c r="Q22" s="1"/>
  <c r="R22" s="1"/>
  <c r="P23"/>
  <c r="T23" s="1"/>
  <c r="AD23" s="1"/>
  <c r="P24"/>
  <c r="Q24" s="1"/>
  <c r="R24" s="1"/>
  <c r="P25"/>
  <c r="T25" s="1"/>
  <c r="AD25" s="1"/>
  <c r="P26"/>
  <c r="Q26" s="1"/>
  <c r="R26" s="1"/>
  <c r="T24"/>
  <c r="AD24" s="1"/>
  <c r="T26"/>
  <c r="AD26" s="1"/>
  <c r="AL82" i="12" l="1"/>
  <c r="AL83" s="1"/>
  <c r="AW64"/>
  <c r="AW102" s="1"/>
  <c r="AY64"/>
  <c r="AW101" s="1"/>
  <c r="AS57" s="1"/>
  <c r="AS69" s="1"/>
  <c r="AS56"/>
  <c r="AS62"/>
  <c r="AL80"/>
  <c r="AL56" s="1"/>
  <c r="AH26" i="1"/>
  <c r="AP26" s="1"/>
  <c r="AH24"/>
  <c r="AP24" s="1"/>
  <c r="T22"/>
  <c r="AE26"/>
  <c r="AE24"/>
  <c r="AH25"/>
  <c r="AP25" s="1"/>
  <c r="AH23"/>
  <c r="AP23" s="1"/>
  <c r="AJ26"/>
  <c r="AJ24"/>
  <c r="AX62" i="11"/>
  <c r="AX99" s="1"/>
  <c r="AZ62"/>
  <c r="AP15"/>
  <c r="AM39"/>
  <c r="AT54"/>
  <c r="AT66" s="1"/>
  <c r="AT60"/>
  <c r="S26" i="1"/>
  <c r="AL26" s="1"/>
  <c r="AM26"/>
  <c r="S24"/>
  <c r="AL24" s="1"/>
  <c r="AM24"/>
  <c r="S22"/>
  <c r="S25"/>
  <c r="AL25" s="1"/>
  <c r="AM25"/>
  <c r="S23"/>
  <c r="AL23" s="1"/>
  <c r="AO23" s="1"/>
  <c r="AQ23" s="1"/>
  <c r="AM23"/>
  <c r="AN26"/>
  <c r="AN25"/>
  <c r="AK5"/>
  <c r="AS78" i="12" l="1"/>
  <c r="AS66"/>
  <c r="AS68" s="1"/>
  <c r="AW100"/>
  <c r="AS58" s="1"/>
  <c r="AS70" s="1"/>
  <c r="AN23" i="1"/>
  <c r="AN24"/>
  <c r="AJ22"/>
  <c r="AE22"/>
  <c r="AD22"/>
  <c r="AH22"/>
  <c r="AP22" s="1"/>
  <c r="AR15" i="11"/>
  <c r="AP39"/>
  <c r="AR39" s="1"/>
  <c r="AX98"/>
  <c r="AT55" s="1"/>
  <c r="AT67" s="1"/>
  <c r="AX97"/>
  <c r="AT56" s="1"/>
  <c r="AT68" s="1"/>
  <c r="AO24" i="1"/>
  <c r="AQ24" s="1"/>
  <c r="AO25"/>
  <c r="AQ25" s="1"/>
  <c r="AS61"/>
  <c r="AS62"/>
  <c r="AS51"/>
  <c r="AS63" s="1"/>
  <c r="AM22" l="1"/>
  <c r="AN22"/>
  <c r="AL22"/>
  <c r="AO22" s="1"/>
  <c r="AQ22" s="1"/>
  <c r="AC39"/>
  <c r="AJ4" l="1"/>
  <c r="C8" i="5" l="1"/>
  <c r="G7"/>
  <c r="G6"/>
  <c r="E8"/>
  <c r="D8"/>
  <c r="G8" l="1"/>
  <c r="E9" s="1"/>
  <c r="P21" i="1" l="1"/>
  <c r="P27"/>
  <c r="P29"/>
  <c r="P31"/>
  <c r="P33"/>
  <c r="P35"/>
  <c r="P36"/>
  <c r="P37"/>
  <c r="A38"/>
  <c r="P38" s="1"/>
  <c r="Q38" s="1"/>
  <c r="R38" s="1"/>
  <c r="A34"/>
  <c r="P34" s="1"/>
  <c r="Q34" s="1"/>
  <c r="R34" s="1"/>
  <c r="A32"/>
  <c r="P32" s="1"/>
  <c r="Q32" s="1"/>
  <c r="R32" s="1"/>
  <c r="A30"/>
  <c r="P30" s="1"/>
  <c r="Q30" s="1"/>
  <c r="R30" s="1"/>
  <c r="A28"/>
  <c r="S30" l="1"/>
  <c r="S34"/>
  <c r="T37"/>
  <c r="Q37"/>
  <c r="R37" s="1"/>
  <c r="T35"/>
  <c r="Q35"/>
  <c r="R35" s="1"/>
  <c r="T31"/>
  <c r="Q31"/>
  <c r="R31" s="1"/>
  <c r="T27"/>
  <c r="Q27"/>
  <c r="R27" s="1"/>
  <c r="S32"/>
  <c r="S38"/>
  <c r="T36"/>
  <c r="Q36"/>
  <c r="R36" s="1"/>
  <c r="T33"/>
  <c r="Q33"/>
  <c r="R33" s="1"/>
  <c r="T29"/>
  <c r="Q29"/>
  <c r="R29" s="1"/>
  <c r="T21"/>
  <c r="Q21"/>
  <c r="R21" s="1"/>
  <c r="AJ21"/>
  <c r="AD21"/>
  <c r="AJ37"/>
  <c r="AD37"/>
  <c r="AJ35"/>
  <c r="AD35"/>
  <c r="AJ31"/>
  <c r="AD31"/>
  <c r="AJ27"/>
  <c r="AD27"/>
  <c r="AD36"/>
  <c r="AJ36"/>
  <c r="AJ33"/>
  <c r="AD33"/>
  <c r="AJ29"/>
  <c r="AD29"/>
  <c r="AE37"/>
  <c r="AH37"/>
  <c r="AP37" s="1"/>
  <c r="AE35"/>
  <c r="AH35"/>
  <c r="AP35" s="1"/>
  <c r="AE31"/>
  <c r="AH31"/>
  <c r="AP31" s="1"/>
  <c r="AE27"/>
  <c r="AH27"/>
  <c r="AP27" s="1"/>
  <c r="AE21"/>
  <c r="AH21"/>
  <c r="AP21" s="1"/>
  <c r="AE36"/>
  <c r="AH36"/>
  <c r="AP36" s="1"/>
  <c r="AE33"/>
  <c r="AH33"/>
  <c r="AP33" s="1"/>
  <c r="AE29"/>
  <c r="AH29"/>
  <c r="AP29" s="1"/>
  <c r="A52"/>
  <c r="T30"/>
  <c r="T34"/>
  <c r="T32"/>
  <c r="T38"/>
  <c r="P28"/>
  <c r="Q28" s="1"/>
  <c r="R28" s="1"/>
  <c r="AO26"/>
  <c r="AQ26" s="1"/>
  <c r="P8"/>
  <c r="T8" s="1"/>
  <c r="P14"/>
  <c r="T14" s="1"/>
  <c r="P13"/>
  <c r="T13" s="1"/>
  <c r="P12"/>
  <c r="T12" s="1"/>
  <c r="P11"/>
  <c r="T11" s="1"/>
  <c r="P10"/>
  <c r="T10" s="1"/>
  <c r="P7"/>
  <c r="T7" s="1"/>
  <c r="P6"/>
  <c r="T6" s="1"/>
  <c r="P5"/>
  <c r="A19"/>
  <c r="P19" s="1"/>
  <c r="T19" s="1"/>
  <c r="A20"/>
  <c r="P20" s="1"/>
  <c r="Q20" s="1"/>
  <c r="R20" s="1"/>
  <c r="N20"/>
  <c r="A18"/>
  <c r="P18" s="1"/>
  <c r="T18" s="1"/>
  <c r="A16"/>
  <c r="P16" s="1"/>
  <c r="T16" s="1"/>
  <c r="N27"/>
  <c r="N26"/>
  <c r="P9"/>
  <c r="Q9" s="1"/>
  <c r="R9" s="1"/>
  <c r="P52"/>
  <c r="P51"/>
  <c r="O18"/>
  <c r="Q18" s="1"/>
  <c r="R18" s="1"/>
  <c r="N18"/>
  <c r="O17"/>
  <c r="N17"/>
  <c r="A17"/>
  <c r="P17" s="1"/>
  <c r="T17" s="1"/>
  <c r="O19"/>
  <c r="Q19" s="1"/>
  <c r="R19" s="1"/>
  <c r="N19"/>
  <c r="O16"/>
  <c r="Q16" s="1"/>
  <c r="R16" s="1"/>
  <c r="N16"/>
  <c r="O15"/>
  <c r="N15"/>
  <c r="O14"/>
  <c r="Q14" s="1"/>
  <c r="R14" s="1"/>
  <c r="N14"/>
  <c r="O13"/>
  <c r="Q13" s="1"/>
  <c r="R13" s="1"/>
  <c r="N13"/>
  <c r="O12"/>
  <c r="Q12" s="1"/>
  <c r="R12" s="1"/>
  <c r="N12"/>
  <c r="O11"/>
  <c r="Q11" s="1"/>
  <c r="R11" s="1"/>
  <c r="N11"/>
  <c r="O10"/>
  <c r="Q10" s="1"/>
  <c r="R10" s="1"/>
  <c r="N10"/>
  <c r="O8"/>
  <c r="Q8" s="1"/>
  <c r="R8" s="1"/>
  <c r="N8"/>
  <c r="O7"/>
  <c r="Q7" s="1"/>
  <c r="R7" s="1"/>
  <c r="N7"/>
  <c r="O6"/>
  <c r="Q6" s="1"/>
  <c r="R6" s="1"/>
  <c r="N6"/>
  <c r="O5"/>
  <c r="Q5" s="1"/>
  <c r="N5"/>
  <c r="H12"/>
  <c r="H5"/>
  <c r="D5"/>
  <c r="A15"/>
  <c r="Q17" l="1"/>
  <c r="R17" s="1"/>
  <c r="S28"/>
  <c r="AM21"/>
  <c r="S21"/>
  <c r="AL21" s="1"/>
  <c r="AM29"/>
  <c r="S29"/>
  <c r="AL29" s="1"/>
  <c r="AO29" s="1"/>
  <c r="AM33"/>
  <c r="S33"/>
  <c r="AL33" s="1"/>
  <c r="AO33" s="1"/>
  <c r="AM36"/>
  <c r="S36"/>
  <c r="AL36" s="1"/>
  <c r="AM27"/>
  <c r="S27"/>
  <c r="AL27" s="1"/>
  <c r="AO27" s="1"/>
  <c r="AM31"/>
  <c r="S31"/>
  <c r="AL31" s="1"/>
  <c r="AO31" s="1"/>
  <c r="AM35"/>
  <c r="S35"/>
  <c r="AL35" s="1"/>
  <c r="AO35" s="1"/>
  <c r="AM37"/>
  <c r="S37"/>
  <c r="AL37" s="1"/>
  <c r="S9"/>
  <c r="S20"/>
  <c r="AN36"/>
  <c r="R5"/>
  <c r="S6"/>
  <c r="S7"/>
  <c r="S8"/>
  <c r="S10"/>
  <c r="S11"/>
  <c r="S12"/>
  <c r="S13"/>
  <c r="S14"/>
  <c r="S16"/>
  <c r="S19"/>
  <c r="S17"/>
  <c r="S18"/>
  <c r="AQ27"/>
  <c r="AD18"/>
  <c r="AM18" s="1"/>
  <c r="AJ18"/>
  <c r="AD7"/>
  <c r="AM7" s="1"/>
  <c r="AJ7"/>
  <c r="AD11"/>
  <c r="AM11" s="1"/>
  <c r="AJ11"/>
  <c r="AD13"/>
  <c r="AM13" s="1"/>
  <c r="AJ13"/>
  <c r="AJ8"/>
  <c r="AD8"/>
  <c r="AM8" s="1"/>
  <c r="AD38"/>
  <c r="AJ38"/>
  <c r="AD32"/>
  <c r="AJ32"/>
  <c r="AD34"/>
  <c r="AJ34"/>
  <c r="AD30"/>
  <c r="AJ30"/>
  <c r="AQ29"/>
  <c r="AQ33"/>
  <c r="AQ31"/>
  <c r="AQ35"/>
  <c r="AJ17"/>
  <c r="AD17"/>
  <c r="AM17" s="1"/>
  <c r="AD16"/>
  <c r="AM16" s="1"/>
  <c r="AJ16"/>
  <c r="AJ19"/>
  <c r="AD19"/>
  <c r="AM19" s="1"/>
  <c r="AJ6"/>
  <c r="AD6"/>
  <c r="AM6" s="1"/>
  <c r="AJ10"/>
  <c r="AD10"/>
  <c r="AM10" s="1"/>
  <c r="AJ12"/>
  <c r="AD12"/>
  <c r="AM12" s="1"/>
  <c r="AJ14"/>
  <c r="AD14"/>
  <c r="AM14" s="1"/>
  <c r="AO21"/>
  <c r="AQ21" s="1"/>
  <c r="AE17"/>
  <c r="AH17"/>
  <c r="AP17" s="1"/>
  <c r="AE16"/>
  <c r="AH16"/>
  <c r="AP16" s="1"/>
  <c r="AE19"/>
  <c r="AH19"/>
  <c r="AP19" s="1"/>
  <c r="AE6"/>
  <c r="AH6"/>
  <c r="AP6" s="1"/>
  <c r="AE10"/>
  <c r="AH10"/>
  <c r="AP10" s="1"/>
  <c r="AE12"/>
  <c r="AH12"/>
  <c r="AP12" s="1"/>
  <c r="AE14"/>
  <c r="AH14"/>
  <c r="AP14" s="1"/>
  <c r="AE18"/>
  <c r="AH18"/>
  <c r="AP18" s="1"/>
  <c r="AE7"/>
  <c r="AH7"/>
  <c r="AP7" s="1"/>
  <c r="AE11"/>
  <c r="AH11"/>
  <c r="AP11" s="1"/>
  <c r="AE13"/>
  <c r="AH13"/>
  <c r="AP13" s="1"/>
  <c r="AE8"/>
  <c r="AH8"/>
  <c r="AP8" s="1"/>
  <c r="AE38"/>
  <c r="AH38"/>
  <c r="AP38" s="1"/>
  <c r="AE32"/>
  <c r="AH32"/>
  <c r="AP32" s="1"/>
  <c r="AE34"/>
  <c r="AH34"/>
  <c r="AP34" s="1"/>
  <c r="AE30"/>
  <c r="AH30"/>
  <c r="AP30" s="1"/>
  <c r="P15"/>
  <c r="P39" s="1"/>
  <c r="A39"/>
  <c r="A53" s="1"/>
  <c r="T9"/>
  <c r="T20"/>
  <c r="T5"/>
  <c r="T28"/>
  <c r="AF39"/>
  <c r="AN30" l="1"/>
  <c r="AM30"/>
  <c r="AN34"/>
  <c r="AM34"/>
  <c r="AN32"/>
  <c r="AM32"/>
  <c r="AN38"/>
  <c r="AM38"/>
  <c r="AL30"/>
  <c r="AO30" s="1"/>
  <c r="AL32"/>
  <c r="AO32" s="1"/>
  <c r="AN21"/>
  <c r="AN35"/>
  <c r="AN27"/>
  <c r="AN29"/>
  <c r="AL34"/>
  <c r="AL38"/>
  <c r="AO38" s="1"/>
  <c r="AN37"/>
  <c r="AN31"/>
  <c r="AN33"/>
  <c r="AL19"/>
  <c r="AO19" s="1"/>
  <c r="AQ19" s="1"/>
  <c r="AN19"/>
  <c r="AL16"/>
  <c r="AO16" s="1"/>
  <c r="AQ16" s="1"/>
  <c r="AN16"/>
  <c r="AL14"/>
  <c r="AO14" s="1"/>
  <c r="AN14"/>
  <c r="AL13"/>
  <c r="AO13" s="1"/>
  <c r="AN13"/>
  <c r="AL12"/>
  <c r="AO12" s="1"/>
  <c r="AQ12" s="1"/>
  <c r="AN12"/>
  <c r="AL11"/>
  <c r="AO11" s="1"/>
  <c r="AQ11" s="1"/>
  <c r="AN11"/>
  <c r="AL10"/>
  <c r="AO10" s="1"/>
  <c r="AN10"/>
  <c r="AL8"/>
  <c r="AO8" s="1"/>
  <c r="AQ8" s="1"/>
  <c r="AN8"/>
  <c r="AL7"/>
  <c r="AO7" s="1"/>
  <c r="AQ7" s="1"/>
  <c r="AN7"/>
  <c r="AL6"/>
  <c r="AO6" s="1"/>
  <c r="AQ6" s="1"/>
  <c r="AN6"/>
  <c r="AM5"/>
  <c r="S5"/>
  <c r="AQ13"/>
  <c r="AL18"/>
  <c r="AO18" s="1"/>
  <c r="AQ18" s="1"/>
  <c r="AN18"/>
  <c r="AL17"/>
  <c r="AO17" s="1"/>
  <c r="AN17"/>
  <c r="Q15"/>
  <c r="AQ32"/>
  <c r="AO36"/>
  <c r="AQ36" s="1"/>
  <c r="AO37"/>
  <c r="AQ37" s="1"/>
  <c r="AQ30"/>
  <c r="AJ5"/>
  <c r="AD5"/>
  <c r="AD20"/>
  <c r="AJ20"/>
  <c r="AD9"/>
  <c r="AJ9"/>
  <c r="AD28"/>
  <c r="AL28" s="1"/>
  <c r="AJ28"/>
  <c r="AQ38"/>
  <c r="AQ14"/>
  <c r="AQ10"/>
  <c r="T15"/>
  <c r="AD15" s="1"/>
  <c r="AE28"/>
  <c r="AH28"/>
  <c r="AP28" s="1"/>
  <c r="AE20"/>
  <c r="AH20"/>
  <c r="AP20" s="1"/>
  <c r="AE9"/>
  <c r="AH9"/>
  <c r="AP9" s="1"/>
  <c r="AE5"/>
  <c r="AH5"/>
  <c r="AB39"/>
  <c r="AN9" l="1"/>
  <c r="AM9"/>
  <c r="AN20"/>
  <c r="AM20"/>
  <c r="AL9"/>
  <c r="AN28"/>
  <c r="AM28"/>
  <c r="AL20"/>
  <c r="AE15"/>
  <c r="AE39" s="1"/>
  <c r="AC44" s="1"/>
  <c r="AL51" s="1"/>
  <c r="AD39"/>
  <c r="R15"/>
  <c r="Q39"/>
  <c r="N45" s="1"/>
  <c r="O39"/>
  <c r="N44" s="1"/>
  <c r="AL5"/>
  <c r="AN5"/>
  <c r="AO34"/>
  <c r="AQ34" s="1"/>
  <c r="AQ17"/>
  <c r="AO5"/>
  <c r="AJ15"/>
  <c r="AJ39" s="1"/>
  <c r="AH15"/>
  <c r="AP15" s="1"/>
  <c r="AP5"/>
  <c r="T39"/>
  <c r="AO9" l="1"/>
  <c r="AQ9" s="1"/>
  <c r="AC45"/>
  <c r="AL53" s="1"/>
  <c r="AE44"/>
  <c r="AS75" s="1"/>
  <c r="AS73"/>
  <c r="AL75"/>
  <c r="AL45"/>
  <c r="O44"/>
  <c r="N48"/>
  <c r="AM15"/>
  <c r="AM39" s="1"/>
  <c r="S15"/>
  <c r="R39"/>
  <c r="AO28"/>
  <c r="AQ28" s="1"/>
  <c r="AO20"/>
  <c r="AQ20" s="1"/>
  <c r="AH39"/>
  <c r="AP39"/>
  <c r="AQ5"/>
  <c r="AL77" l="1"/>
  <c r="AL78" s="1"/>
  <c r="AL54" s="1"/>
  <c r="AL76"/>
  <c r="AL79" s="1"/>
  <c r="AL43"/>
  <c r="Q45"/>
  <c r="R45" s="1"/>
  <c r="AS72"/>
  <c r="AL15"/>
  <c r="AN15"/>
  <c r="AN39" s="1"/>
  <c r="S39"/>
  <c r="Q44" s="1"/>
  <c r="R44" s="1"/>
  <c r="AS48"/>
  <c r="AW96"/>
  <c r="AW95" s="1"/>
  <c r="AL80" l="1"/>
  <c r="AL81" s="1"/>
  <c r="R46"/>
  <c r="AW65"/>
  <c r="AY65" s="1"/>
  <c r="AW69"/>
  <c r="AY69" s="1"/>
  <c r="AW73"/>
  <c r="AY73" s="1"/>
  <c r="AW77"/>
  <c r="AY77" s="1"/>
  <c r="AW82"/>
  <c r="AY82" s="1"/>
  <c r="AW86"/>
  <c r="AY86" s="1"/>
  <c r="AW64"/>
  <c r="AY64" s="1"/>
  <c r="AW68"/>
  <c r="AY68" s="1"/>
  <c r="AW72"/>
  <c r="AY72" s="1"/>
  <c r="AW76"/>
  <c r="AY76" s="1"/>
  <c r="AW81"/>
  <c r="AY81" s="1"/>
  <c r="AW85"/>
  <c r="AY85" s="1"/>
  <c r="AW63"/>
  <c r="AY63" s="1"/>
  <c r="AW71"/>
  <c r="AY71" s="1"/>
  <c r="AW75"/>
  <c r="AY75" s="1"/>
  <c r="AW80"/>
  <c r="AY80" s="1"/>
  <c r="AW84"/>
  <c r="AY84" s="1"/>
  <c r="AW88"/>
  <c r="AY88" s="1"/>
  <c r="AW66"/>
  <c r="AY66" s="1"/>
  <c r="AW70"/>
  <c r="AY70" s="1"/>
  <c r="AW74"/>
  <c r="AY74" s="1"/>
  <c r="AW83"/>
  <c r="AY83" s="1"/>
  <c r="AW87"/>
  <c r="AY87" s="1"/>
  <c r="AW67"/>
  <c r="AY67" s="1"/>
  <c r="AW78"/>
  <c r="AY78" s="1"/>
  <c r="AO15"/>
  <c r="AL39"/>
  <c r="AS60"/>
  <c r="AW62"/>
  <c r="AW100" s="1"/>
  <c r="AY62"/>
  <c r="AS76" l="1"/>
  <c r="AS64"/>
  <c r="AS66" s="1"/>
  <c r="AQ15"/>
  <c r="AO39"/>
  <c r="AQ39" s="1"/>
  <c r="AW99"/>
  <c r="AS55" s="1"/>
  <c r="AS67" s="1"/>
  <c r="AW98"/>
  <c r="AS56" s="1"/>
  <c r="AS68" s="1"/>
</calcChain>
</file>

<file path=xl/sharedStrings.xml><?xml version="1.0" encoding="utf-8"?>
<sst xmlns="http://schemas.openxmlformats.org/spreadsheetml/2006/main" count="1108" uniqueCount="241">
  <si>
    <t>Nº PL</t>
  </si>
  <si>
    <t>Tipo de lámpara</t>
  </si>
  <si>
    <t>Potencia lámpara (W)</t>
  </si>
  <si>
    <t>Potencia total (kW)</t>
  </si>
  <si>
    <t>Inventario de los puntos de luz (PL) - INSTALACION EXISTENTE</t>
  </si>
  <si>
    <t>Potencia instalada</t>
  </si>
  <si>
    <t>Potencia reducida</t>
  </si>
  <si>
    <t>Precio kwh</t>
  </si>
  <si>
    <t>TOTAL Consumo</t>
  </si>
  <si>
    <t>TABLA DATOS SEGÚN MEMORIA DESCRIPTIVA SOLICITADA</t>
  </si>
  <si>
    <t>Horas funcionamiento 100%/año</t>
  </si>
  <si>
    <t>Horas funcionamiento reducido/año</t>
  </si>
  <si>
    <t>Reduccion %</t>
  </si>
  <si>
    <t>Calle</t>
  </si>
  <si>
    <t>Disposición (Unilateral, Bilateral, Tresbolillo…etc)</t>
  </si>
  <si>
    <t>Altura (m)</t>
  </si>
  <si>
    <t>Interdistancia (mismo lado) (m)</t>
  </si>
  <si>
    <t>Ancho Acera 1 (m)</t>
  </si>
  <si>
    <t>Ancho Acera 2 (m)</t>
  </si>
  <si>
    <t>M</t>
  </si>
  <si>
    <t>C1</t>
  </si>
  <si>
    <t>C2</t>
  </si>
  <si>
    <t>A1</t>
  </si>
  <si>
    <t>A2</t>
  </si>
  <si>
    <t>L1</t>
  </si>
  <si>
    <t>L2</t>
  </si>
  <si>
    <t>P1</t>
  </si>
  <si>
    <t>P2</t>
  </si>
  <si>
    <t>Luminaria</t>
  </si>
  <si>
    <t>Ancho Parking 1 (m)</t>
  </si>
  <si>
    <t>Ancho Parking 2 (m)</t>
  </si>
  <si>
    <t>Ancho Carretera 1 (m)</t>
  </si>
  <si>
    <t>Ancho Carretera 2 (m)</t>
  </si>
  <si>
    <t>Ancho Mediana (m)</t>
  </si>
  <si>
    <t>Distancia del extremo izquierdo de la calle a la luminaria, incluido el brazo (m)</t>
  </si>
  <si>
    <t>Distancia del extremo derecho de la calle a la luminaria, incluido el brazo (m)</t>
  </si>
  <si>
    <t>LEYENDA</t>
  </si>
  <si>
    <t>Clase de Alumbrado</t>
  </si>
  <si>
    <t>Em (lux)</t>
  </si>
  <si>
    <t>Ug (%)</t>
  </si>
  <si>
    <t>Lmed (cd/m2)</t>
  </si>
  <si>
    <t>Uo (%)</t>
  </si>
  <si>
    <t>Clasificación Energética</t>
  </si>
  <si>
    <t>Luminaria Propuesta</t>
  </si>
  <si>
    <t>Luminaria Existente</t>
  </si>
  <si>
    <t>Mediana (m)</t>
  </si>
  <si>
    <t>Acera 1 A1(m)</t>
  </si>
  <si>
    <t>Parking 1 P1 (m)</t>
  </si>
  <si>
    <t>Vía (Carretera 1 C1) (m)</t>
  </si>
  <si>
    <t>Vía (Carretera 2 C2) (m)</t>
  </si>
  <si>
    <t>Parking 2 P2 (m)</t>
  </si>
  <si>
    <t>Acera 2 A2(m)</t>
  </si>
  <si>
    <t>Ver Leyenda para completar parte de Instalación Existente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</si>
  <si>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 xml:space="preserve">Nombre de la localidad: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</si>
  <si>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 xml:space="preserve">Domicilio: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</si>
  <si>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 xml:space="preserve">Provincia: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</si>
  <si>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 xml:space="preserve">Comunidad Autónoma: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</si>
  <si>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 xml:space="preserve">C.P.: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</si>
  <si>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NIF del ayuntamiento: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</si>
  <si>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 xml:space="preserve">Nº de habitantes: </t>
    </r>
  </si>
  <si>
    <t>PROGRAMA DE AYUDAS PARA LA RENOVACIÓN DE LAS INSTALACIONES DE ALUMBRADO EXTERIOR MUNICIPAL</t>
  </si>
  <si>
    <t>Unilateral</t>
  </si>
  <si>
    <t>Estudio Lumínico</t>
  </si>
  <si>
    <t>Mediana</t>
  </si>
  <si>
    <t>Tresbolillo</t>
  </si>
  <si>
    <t>XXXXXXXXXX</t>
  </si>
  <si>
    <t>Bilateral</t>
  </si>
  <si>
    <t>Avdenida de la Alcanara</t>
  </si>
  <si>
    <t>Avda. de la Alcanara_Aparcamiento 1</t>
  </si>
  <si>
    <t>Unidades</t>
  </si>
  <si>
    <t>VS AP</t>
  </si>
  <si>
    <t>Halogenuros metálicos</t>
  </si>
  <si>
    <t>La Feria</t>
  </si>
  <si>
    <t>El Cañarico</t>
  </si>
  <si>
    <t>El Cañarico_Carretera</t>
  </si>
  <si>
    <t>B.C. de las Cañadas_Aparcamiento</t>
  </si>
  <si>
    <t>El Berro I</t>
  </si>
  <si>
    <t>El Berro II</t>
  </si>
  <si>
    <t>Jardines (Casco urbano Alhama)</t>
  </si>
  <si>
    <t>H MET</t>
  </si>
  <si>
    <t>V HG</t>
  </si>
  <si>
    <t>VS AP (Blanco)</t>
  </si>
  <si>
    <t>Plazas (Casco urbano Alhama)</t>
  </si>
  <si>
    <t>Tipo 1 (Juan Carlos )</t>
  </si>
  <si>
    <t>Tipo 2 (Sierra Espuña)</t>
  </si>
  <si>
    <t>Tipo 3 (Menorca)</t>
  </si>
  <si>
    <t>Tipo 4 (Alfonso X el sabio)</t>
  </si>
  <si>
    <t>Tipo 5 (Antonio Machado)</t>
  </si>
  <si>
    <t>Tipo 6 (Aledo)</t>
  </si>
  <si>
    <t>Tipo 7 (Las Higueras)</t>
  </si>
  <si>
    <t>Tipo 8 (Gema Galgini)</t>
  </si>
  <si>
    <t>Tipo 9 (Rio Tajo)</t>
  </si>
  <si>
    <t>Tipo 10 (Miguel Hernandez)</t>
  </si>
  <si>
    <t>Tipo 11 (Antonio Fuertes/Ginés Campos/N-304)</t>
  </si>
  <si>
    <t>Propuesta de horas anuales de funcionamitento del alumbrado público</t>
  </si>
  <si>
    <t>Horas/año de utilización</t>
  </si>
  <si>
    <t>Al 100%</t>
  </si>
  <si>
    <t>Reducida</t>
  </si>
  <si>
    <t>Total</t>
  </si>
  <si>
    <t>Urbano</t>
  </si>
  <si>
    <t>Autopista</t>
  </si>
  <si>
    <t>Turústico</t>
  </si>
  <si>
    <t>Según la tabla anterior, el ciclo del alumbrado en modo ahorro o tensión reducida, se inicia a las 23:00
h y permanece hasta las 05:15 h</t>
  </si>
  <si>
    <t>Casco Urbano Alhama</t>
  </si>
  <si>
    <r>
      <t>Coste unitario luminaria
(</t>
    </r>
    <r>
      <rPr>
        <sz val="8"/>
        <color rgb="FF000000"/>
        <rFont val="Calibri"/>
        <family val="2"/>
      </rPr>
      <t>€</t>
    </r>
    <r>
      <rPr>
        <sz val="8"/>
        <color rgb="FF000000"/>
        <rFont val="Arial"/>
        <family val="2"/>
      </rPr>
      <t>)</t>
    </r>
  </si>
  <si>
    <t>Coste Total
(€)</t>
  </si>
  <si>
    <t>Ahorro anual por término de energía (€/año)</t>
  </si>
  <si>
    <t>Coste instalación (€)</t>
  </si>
  <si>
    <t>Vida util luminarias (horas)</t>
  </si>
  <si>
    <t>Vida util luminarias (años)</t>
  </si>
  <si>
    <t>Horas anulaes funcionamiento</t>
  </si>
  <si>
    <t>Ahorro anual térmico energía (€/año)</t>
  </si>
  <si>
    <t>Ahorro anual térmico potencia (€/año)</t>
  </si>
  <si>
    <t>Periodo de retorno (años)</t>
  </si>
  <si>
    <t>TIR (%)</t>
  </si>
  <si>
    <t>VAN</t>
  </si>
  <si>
    <t>VAN (€)</t>
  </si>
  <si>
    <t>Propuesta</t>
  </si>
  <si>
    <t>Ahorro anual de energía consumida
(kWh)</t>
  </si>
  <si>
    <t>Ahorro anual de energía consumida
(%)</t>
  </si>
  <si>
    <t>Ahorro económico anual
(€)</t>
  </si>
  <si>
    <t>Coste de implantación de la medida de ahorro
€</t>
  </si>
  <si>
    <t>Periodo de amortización de la medida
(años)</t>
  </si>
  <si>
    <t>Flujo Ingresos</t>
  </si>
  <si>
    <t>Flujo Gastos</t>
  </si>
  <si>
    <t>Efectivo neto</t>
  </si>
  <si>
    <t>Año 1</t>
  </si>
  <si>
    <t>n (años)</t>
  </si>
  <si>
    <t>Tasa de interes</t>
  </si>
  <si>
    <t>Inversión inicial</t>
  </si>
  <si>
    <t>Inversión icinial</t>
  </si>
  <si>
    <t>TIR</t>
  </si>
  <si>
    <t>INSTALACION PROPUESTA- CTCON</t>
  </si>
  <si>
    <t>Estudio 5</t>
  </si>
  <si>
    <t>ME4b</t>
  </si>
  <si>
    <t>A</t>
  </si>
  <si>
    <t>AMPERA MINI 32 LED 500mA NW 5117</t>
  </si>
  <si>
    <t>Estudio 1</t>
  </si>
  <si>
    <t>AMPERA MINI 32 LED 500mA NW 5138</t>
  </si>
  <si>
    <t>Estudio 2</t>
  </si>
  <si>
    <t>S3</t>
  </si>
  <si>
    <t>AMPERA MINI 16 LED 350mA NW 5117</t>
  </si>
  <si>
    <t>AMPERA MINI 16 LED 500mA NW 5117</t>
  </si>
  <si>
    <t>Estudio 3</t>
  </si>
  <si>
    <t>Estudio 4</t>
  </si>
  <si>
    <t>Estudio 8</t>
  </si>
  <si>
    <t>Estudio 9</t>
  </si>
  <si>
    <t>AMPERA MINI 16 LED 500mA NW 5138</t>
  </si>
  <si>
    <t>Estudio 11</t>
  </si>
  <si>
    <t>Estudio 6</t>
  </si>
  <si>
    <t>Estudio 10</t>
  </si>
  <si>
    <t>Estudio 15</t>
  </si>
  <si>
    <t>Estudio 12</t>
  </si>
  <si>
    <t>Estudio 13</t>
  </si>
  <si>
    <t>CE4</t>
  </si>
  <si>
    <t>AMPERA MINI 48 LED 500mA NW 5118</t>
  </si>
  <si>
    <t>Estudio 14</t>
  </si>
  <si>
    <t>AMPERA MINI 96 LED 500mA NW 5117</t>
  </si>
  <si>
    <t>Estudio 7</t>
  </si>
  <si>
    <t>NIVEL SUPERIOR UTILIZANDO MÍNIMA POTENCIA</t>
  </si>
  <si>
    <t>Avdas. Polígono Tipo 1</t>
  </si>
  <si>
    <t>Avdas. Polígono Tipo 2</t>
  </si>
  <si>
    <t>Avdas. Polígono Tipo 3</t>
  </si>
  <si>
    <t>Avdas. Polígono Tipo 4</t>
  </si>
  <si>
    <t>Avdas. Polígono Tipo 5</t>
  </si>
  <si>
    <t>Estudio 16</t>
  </si>
  <si>
    <t>Estudio 17</t>
  </si>
  <si>
    <t>Estudio 18</t>
  </si>
  <si>
    <t>Medianera</t>
  </si>
  <si>
    <t>AMPERA MIDI 80 LED 500mA NW 5117</t>
  </si>
  <si>
    <t>AMPERA MINI 24 LED 500mA NW 5117</t>
  </si>
  <si>
    <t>Estudio 19</t>
  </si>
  <si>
    <t>AMPERA MIDI 32 LED 500mA NW 5117</t>
  </si>
  <si>
    <t>Estudio 20</t>
  </si>
  <si>
    <t>AMPERA MINI 24 LED 500mA NW 5138</t>
  </si>
  <si>
    <t>Estudio 22</t>
  </si>
  <si>
    <t>KIO 16 LED 500mA NW 5068 SYM</t>
  </si>
  <si>
    <t>Estudio 23</t>
  </si>
  <si>
    <t>AMPERA MIDI 32 LED 500mA NW 5068</t>
  </si>
  <si>
    <t>Estudio 21</t>
  </si>
  <si>
    <t>KIO 16 LED 350mA NW 5068 SYM</t>
  </si>
  <si>
    <t>Estudio 24</t>
  </si>
  <si>
    <t>AMPERA MINI 16 LED 500mA NW 5068</t>
  </si>
  <si>
    <t>Ahorro anual de potencia
(kW)</t>
  </si>
  <si>
    <t>Coste potencia (€/kW día)</t>
  </si>
  <si>
    <t>Ahorro anual por término de potencia (€/año)</t>
  </si>
  <si>
    <t>TOTAL Consumo energía</t>
  </si>
  <si>
    <t>TOTAL Consumo potencia</t>
  </si>
  <si>
    <t>Coste energía (€/kW día)</t>
  </si>
  <si>
    <t>Con reducción</t>
  </si>
  <si>
    <t>TOTAL Coste Facturas Compañía</t>
  </si>
  <si>
    <t>12+19</t>
  </si>
  <si>
    <t>7+36</t>
  </si>
  <si>
    <t>4+4+4+5+8+6+5+1+4+5+4+13+6+14+12+8+10+6+6+4+3+3+5+3+10+10+2+7+9+3+7+3+1+9+8+7+6+3+10+5+4+17+16+10+8+11+7+6+10+1+18+6</t>
  </si>
  <si>
    <t>4+8+5+7+7+7+5+4+20+5+6+4+8+4+3+19+8+8+13+15+10+6+17+5+26+8+5+19+7+13+8+9+8+4+5+2+17+8+3+13+18+4+18+7+6+10+8+26+15+8+5+17+4+4+6+10+4+7+4+10+3+10+5+3+7+8+9+3+7+14+7+5+2+11+18+5+7+3+8+7+1+14+8+7+4+12+1+9+5+4+5+7+12+15+8+2+12+4+2+8+9+3+3+3+8+16+2+5+11+3+5+14+5+4+7+5+9+4+7+2+8+10</t>
  </si>
  <si>
    <t>2+10+26+8+7+15+8+2+4+26+20+8+8+7+5+6+5+26+2+7+2+10+16+6+3+8+18+6+3+7+3+3+2+9+24+38+11+13+2+10+12+2+8+14</t>
  </si>
  <si>
    <t>5+6+6+9+8+5+8+4+7+3+9+7+7+6+6+9+3+7+2+7+2+13+7+18+19+3+7+4+4+6+6+7+4+11+6+5</t>
  </si>
  <si>
    <t>2+5+4+3+1+3+4+6+4+2+3+8+5+6+6+3+6</t>
  </si>
  <si>
    <t>6+8+3+3+7+3+7+12+10</t>
  </si>
  <si>
    <t>4+6+5+8+4+11+4+15+4</t>
  </si>
  <si>
    <t>12+16+3+7+7+7+6+6+18</t>
  </si>
  <si>
    <t>70+186+188+33</t>
  </si>
  <si>
    <t>63+33+59+46</t>
  </si>
  <si>
    <t>40+51+27</t>
  </si>
  <si>
    <t>8+8+8+3+6+3+6+11+3+4+1+12+2+1+7</t>
  </si>
  <si>
    <t>9+5+11+8+3+11+12</t>
  </si>
  <si>
    <t>23+26+17</t>
  </si>
  <si>
    <t>52+7+33+15+11+31</t>
  </si>
  <si>
    <t>12</t>
  </si>
  <si>
    <t>20+16+6+3+5+5+15</t>
  </si>
  <si>
    <t>38+4</t>
  </si>
  <si>
    <t>215+(14*2)+14</t>
  </si>
  <si>
    <t>Ancho total</t>
  </si>
  <si>
    <t>Coste anual por término de energía propuesta (€/año)</t>
  </si>
  <si>
    <t>Coste anual por término de potenciapropuesta (€/año)</t>
  </si>
  <si>
    <t>Ahorro anual térmico energía + energía (€/año)</t>
  </si>
  <si>
    <t>Consumo actual kWh/año</t>
  </si>
  <si>
    <t>Coste actual €/año</t>
  </si>
  <si>
    <t>Potencia Total instalada actual kW</t>
  </si>
  <si>
    <t>Potencia Total propuesta kW</t>
  </si>
  <si>
    <t>Coste anual por término de energía y potencia  actual (€/año)</t>
  </si>
  <si>
    <t>PI</t>
  </si>
  <si>
    <t>Pedanias</t>
  </si>
  <si>
    <t>Auditoía sin impuestos</t>
  </si>
  <si>
    <t>Peaje</t>
  </si>
  <si>
    <t>Comercializadora</t>
  </si>
  <si>
    <t>kw</t>
  </si>
  <si>
    <t>Consumo propuesta kWh/año</t>
  </si>
  <si>
    <t>Término Municipal de Alhama de Murcia</t>
  </si>
  <si>
    <t>Condado de Alhama</t>
  </si>
  <si>
    <t>Auditoía sin IVA</t>
  </si>
  <si>
    <t>Impuesto electricidad</t>
  </si>
  <si>
    <t>Total antes de impuestos</t>
  </si>
  <si>
    <t>Total sin IVA</t>
  </si>
  <si>
    <t>Actual</t>
  </si>
  <si>
    <t>Auditoría con IVA</t>
  </si>
  <si>
    <t>Inventario de los puntos de luz (PL) - INSTALACION EXISTENTE (Tipología para simulación)</t>
  </si>
  <si>
    <t>Potencia Total instalada (kW)</t>
  </si>
  <si>
    <t>TOTAL</t>
  </si>
  <si>
    <t>Horas anuales funcionamiento</t>
  </si>
  <si>
    <t>Coste propuesta €/año</t>
  </si>
</sst>
</file>

<file path=xl/styles.xml><?xml version="1.0" encoding="utf-8"?>
<styleSheet xmlns="http://schemas.openxmlformats.org/spreadsheetml/2006/main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"/>
    <numFmt numFmtId="165" formatCode="0.000000"/>
    <numFmt numFmtId="166" formatCode="0.00000%"/>
    <numFmt numFmtId="167" formatCode="_-* #,##0.00\ &quot;€&quot;_-;\-* #,##0.00\ &quot;€&quot;_-;_-* &quot;-&quot;?????\ &quot;€&quot;_-;_-@_-"/>
  </numFmts>
  <fonts count="20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7" xfId="0" applyBorder="1"/>
    <xf numFmtId="0" fontId="0" fillId="6" borderId="7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/>
    <xf numFmtId="0" fontId="0" fillId="0" borderId="18" xfId="0" applyFill="1" applyBorder="1" applyAlignment="1">
      <alignment horizontal="center" vertical="center"/>
    </xf>
    <xf numFmtId="9" fontId="0" fillId="0" borderId="0" xfId="2" applyFont="1"/>
    <xf numFmtId="165" fontId="0" fillId="0" borderId="0" xfId="0" applyNumberFormat="1"/>
    <xf numFmtId="2" fontId="2" fillId="2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2" fillId="4" borderId="6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44" fontId="12" fillId="0" borderId="1" xfId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9" fontId="12" fillId="0" borderId="1" xfId="2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1" fontId="12" fillId="10" borderId="1" xfId="0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44" fontId="12" fillId="10" borderId="1" xfId="1" applyFont="1" applyFill="1" applyBorder="1" applyAlignment="1">
      <alignment horizontal="center" vertical="center"/>
    </xf>
    <xf numFmtId="2" fontId="12" fillId="10" borderId="1" xfId="0" applyNumberFormat="1" applyFont="1" applyFill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12" fillId="10" borderId="1" xfId="0" applyNumberFormat="1" applyFont="1" applyFill="1" applyBorder="1" applyAlignment="1">
      <alignment horizontal="center" vertical="center"/>
    </xf>
    <xf numFmtId="9" fontId="12" fillId="10" borderId="1" xfId="0" applyNumberFormat="1" applyFont="1" applyFill="1" applyBorder="1" applyAlignment="1">
      <alignment horizontal="center" vertical="center"/>
    </xf>
    <xf numFmtId="44" fontId="2" fillId="4" borderId="0" xfId="1" applyFont="1" applyFill="1" applyBorder="1" applyAlignment="1">
      <alignment horizontal="center" vertical="center" wrapText="1"/>
    </xf>
    <xf numFmtId="44" fontId="2" fillId="4" borderId="6" xfId="0" applyNumberFormat="1" applyFont="1" applyFill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" fontId="18" fillId="0" borderId="6" xfId="0" quotePrefix="1" applyNumberFormat="1" applyFont="1" applyBorder="1" applyAlignment="1">
      <alignment horizontal="center" vertical="center" wrapText="1"/>
    </xf>
    <xf numFmtId="0" fontId="18" fillId="0" borderId="21" xfId="0" quotePrefix="1" applyFont="1" applyBorder="1" applyAlignment="1">
      <alignment horizontal="center" vertical="center" wrapText="1"/>
    </xf>
    <xf numFmtId="0" fontId="18" fillId="0" borderId="8" xfId="0" quotePrefix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8" fontId="0" fillId="0" borderId="0" xfId="1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8" fontId="12" fillId="0" borderId="1" xfId="1" applyNumberFormat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4" fontId="12" fillId="0" borderId="1" xfId="1" applyNumberFormat="1" applyFont="1" applyBorder="1" applyAlignment="1">
      <alignment horizontal="center" vertical="center"/>
    </xf>
    <xf numFmtId="166" fontId="0" fillId="0" borderId="0" xfId="2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4" fontId="0" fillId="6" borderId="0" xfId="0" applyNumberFormat="1" applyFill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9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8" fontId="0" fillId="6" borderId="0" xfId="0" applyNumberFormat="1" applyFill="1" applyAlignment="1">
      <alignment horizontal="center" vertical="center" wrapText="1"/>
    </xf>
    <xf numFmtId="44" fontId="0" fillId="6" borderId="0" xfId="0" applyNumberForma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2</xdr:row>
      <xdr:rowOff>28575</xdr:rowOff>
    </xdr:from>
    <xdr:to>
      <xdr:col>7</xdr:col>
      <xdr:colOff>127645</xdr:colOff>
      <xdr:row>7</xdr:row>
      <xdr:rowOff>347719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409575"/>
          <a:ext cx="3851920" cy="2128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6</xdr:row>
      <xdr:rowOff>19050</xdr:rowOff>
    </xdr:from>
    <xdr:to>
      <xdr:col>4</xdr:col>
      <xdr:colOff>914400</xdr:colOff>
      <xdr:row>6</xdr:row>
      <xdr:rowOff>28575</xdr:rowOff>
    </xdr:to>
    <xdr:cxnSp macro="">
      <xdr:nvCxnSpPr>
        <xdr:cNvPr id="4" name="Conector recto de flecha 3"/>
        <xdr:cNvCxnSpPr/>
      </xdr:nvCxnSpPr>
      <xdr:spPr>
        <a:xfrm>
          <a:off x="9563100" y="1162050"/>
          <a:ext cx="9239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6</xdr:row>
      <xdr:rowOff>9525</xdr:rowOff>
    </xdr:from>
    <xdr:to>
      <xdr:col>6</xdr:col>
      <xdr:colOff>952500</xdr:colOff>
      <xdr:row>6</xdr:row>
      <xdr:rowOff>19050</xdr:rowOff>
    </xdr:to>
    <xdr:cxnSp macro="">
      <xdr:nvCxnSpPr>
        <xdr:cNvPr id="7" name="Conector recto de flecha 6"/>
        <xdr:cNvCxnSpPr/>
      </xdr:nvCxnSpPr>
      <xdr:spPr>
        <a:xfrm>
          <a:off x="10715625" y="1152525"/>
          <a:ext cx="9239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9525</xdr:rowOff>
    </xdr:from>
    <xdr:to>
      <xdr:col>2</xdr:col>
      <xdr:colOff>657225</xdr:colOff>
      <xdr:row>8</xdr:row>
      <xdr:rowOff>19050</xdr:rowOff>
    </xdr:to>
    <xdr:cxnSp macro="">
      <xdr:nvCxnSpPr>
        <xdr:cNvPr id="8" name="Conector recto de flecha 7"/>
        <xdr:cNvCxnSpPr/>
      </xdr:nvCxnSpPr>
      <xdr:spPr>
        <a:xfrm>
          <a:off x="8382000" y="1533525"/>
          <a:ext cx="6572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657225</xdr:colOff>
      <xdr:row>8</xdr:row>
      <xdr:rowOff>9525</xdr:rowOff>
    </xdr:to>
    <xdr:cxnSp macro="">
      <xdr:nvCxnSpPr>
        <xdr:cNvPr id="12" name="Conector recto de flecha 11"/>
        <xdr:cNvCxnSpPr/>
      </xdr:nvCxnSpPr>
      <xdr:spPr>
        <a:xfrm>
          <a:off x="12192000" y="1524000"/>
          <a:ext cx="6572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10</xdr:row>
      <xdr:rowOff>161925</xdr:rowOff>
    </xdr:from>
    <xdr:to>
      <xdr:col>3</xdr:col>
      <xdr:colOff>209550</xdr:colOff>
      <xdr:row>11</xdr:row>
      <xdr:rowOff>152400</xdr:rowOff>
    </xdr:to>
    <xdr:sp macro="" textlink="">
      <xdr:nvSpPr>
        <xdr:cNvPr id="13" name="Retraso 12"/>
        <xdr:cNvSpPr/>
      </xdr:nvSpPr>
      <xdr:spPr>
        <a:xfrm>
          <a:off x="8934450" y="2066925"/>
          <a:ext cx="323850" cy="1809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361950</xdr:colOff>
      <xdr:row>10</xdr:row>
      <xdr:rowOff>171450</xdr:rowOff>
    </xdr:from>
    <xdr:to>
      <xdr:col>8</xdr:col>
      <xdr:colOff>142875</xdr:colOff>
      <xdr:row>11</xdr:row>
      <xdr:rowOff>161925</xdr:rowOff>
    </xdr:to>
    <xdr:sp macro="" textlink="">
      <xdr:nvSpPr>
        <xdr:cNvPr id="14" name="Retraso 13"/>
        <xdr:cNvSpPr/>
      </xdr:nvSpPr>
      <xdr:spPr>
        <a:xfrm rot="10800000">
          <a:off x="12011025" y="2076450"/>
          <a:ext cx="323850" cy="1809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0</xdr:colOff>
      <xdr:row>11</xdr:row>
      <xdr:rowOff>57150</xdr:rowOff>
    </xdr:from>
    <xdr:to>
      <xdr:col>2</xdr:col>
      <xdr:colOff>552450</xdr:colOff>
      <xdr:row>11</xdr:row>
      <xdr:rowOff>61913</xdr:rowOff>
    </xdr:to>
    <xdr:cxnSp macro="">
      <xdr:nvCxnSpPr>
        <xdr:cNvPr id="15" name="Conector recto de flecha 14"/>
        <xdr:cNvCxnSpPr>
          <a:endCxn id="13" idx="1"/>
        </xdr:cNvCxnSpPr>
      </xdr:nvCxnSpPr>
      <xdr:spPr>
        <a:xfrm>
          <a:off x="8382000" y="2152650"/>
          <a:ext cx="552450" cy="476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11</xdr:row>
      <xdr:rowOff>85725</xdr:rowOff>
    </xdr:from>
    <xdr:to>
      <xdr:col>9</xdr:col>
      <xdr:colOff>0</xdr:colOff>
      <xdr:row>11</xdr:row>
      <xdr:rowOff>90488</xdr:rowOff>
    </xdr:to>
    <xdr:cxnSp macro="">
      <xdr:nvCxnSpPr>
        <xdr:cNvPr id="17" name="Conector recto de flecha 16"/>
        <xdr:cNvCxnSpPr/>
      </xdr:nvCxnSpPr>
      <xdr:spPr>
        <a:xfrm>
          <a:off x="12325350" y="2181225"/>
          <a:ext cx="552450" cy="476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7</xdr:row>
      <xdr:rowOff>47625</xdr:rowOff>
    </xdr:from>
    <xdr:to>
      <xdr:col>4</xdr:col>
      <xdr:colOff>9525</xdr:colOff>
      <xdr:row>7</xdr:row>
      <xdr:rowOff>47625</xdr:rowOff>
    </xdr:to>
    <xdr:cxnSp macro="">
      <xdr:nvCxnSpPr>
        <xdr:cNvPr id="18" name="Conector recto de flecha 17"/>
        <xdr:cNvCxnSpPr/>
      </xdr:nvCxnSpPr>
      <xdr:spPr>
        <a:xfrm>
          <a:off x="9039225" y="1381125"/>
          <a:ext cx="5429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</xdr:rowOff>
    </xdr:from>
    <xdr:to>
      <xdr:col>8</xdr:col>
      <xdr:colOff>0</xdr:colOff>
      <xdr:row>7</xdr:row>
      <xdr:rowOff>9525</xdr:rowOff>
    </xdr:to>
    <xdr:cxnSp macro="">
      <xdr:nvCxnSpPr>
        <xdr:cNvPr id="20" name="Conector recto de flecha 19"/>
        <xdr:cNvCxnSpPr/>
      </xdr:nvCxnSpPr>
      <xdr:spPr>
        <a:xfrm>
          <a:off x="11649075" y="1343025"/>
          <a:ext cx="5429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4</xdr:row>
      <xdr:rowOff>0</xdr:rowOff>
    </xdr:from>
    <xdr:to>
      <xdr:col>10</xdr:col>
      <xdr:colOff>523875</xdr:colOff>
      <xdr:row>4</xdr:row>
      <xdr:rowOff>180975</xdr:rowOff>
    </xdr:to>
    <xdr:sp macro="" textlink="">
      <xdr:nvSpPr>
        <xdr:cNvPr id="21" name="Retraso 20"/>
        <xdr:cNvSpPr/>
      </xdr:nvSpPr>
      <xdr:spPr>
        <a:xfrm>
          <a:off x="7743825" y="762000"/>
          <a:ext cx="323850" cy="1809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YA\En%20Ejecucion\SRV-048-15%20Auditor&#237;a%20Energ_Alumb_Publ_Alhama%20de%20Murcia\Ejecuci&#243;n\Tablas\Tabla%20inventario(Nacho)_ver_orden%20gloria%20(9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TABLA RESUMEN"/>
      <sheetName val="Mediciones"/>
      <sheetName val="Hoja1"/>
      <sheetName val="LEYENDA"/>
      <sheetName val="POTENCIAS CASCO URBANO"/>
      <sheetName val="POTENCIAS "/>
      <sheetName val="PLAZAS"/>
      <sheetName val="JARDINES"/>
      <sheetName val="CUADROS"/>
      <sheetName val="CLASES ALUMBRADO"/>
      <sheetName val="Eficiencia Energética"/>
      <sheetName val="Nulo"/>
    </sheetNames>
    <sheetDataSet>
      <sheetData sheetId="0" refreshError="1"/>
      <sheetData sheetId="1" refreshError="1">
        <row r="13">
          <cell r="W13" t="str">
            <v>V HG</v>
          </cell>
          <cell r="X13">
            <v>125</v>
          </cell>
        </row>
        <row r="16">
          <cell r="W16" t="str">
            <v>VS AP</v>
          </cell>
          <cell r="X16">
            <v>100</v>
          </cell>
        </row>
        <row r="25">
          <cell r="C25">
            <v>257</v>
          </cell>
          <cell r="W25" t="str">
            <v>VS AP</v>
          </cell>
          <cell r="X25">
            <v>250</v>
          </cell>
        </row>
        <row r="154">
          <cell r="W154" t="str">
            <v>V HG</v>
          </cell>
          <cell r="X154">
            <v>125</v>
          </cell>
        </row>
        <row r="185">
          <cell r="I185">
            <v>8</v>
          </cell>
          <cell r="W185" t="str">
            <v>VS AP</v>
          </cell>
          <cell r="X185">
            <v>250</v>
          </cell>
        </row>
        <row r="198">
          <cell r="W198" t="str">
            <v>V HG</v>
          </cell>
          <cell r="X198">
            <v>125</v>
          </cell>
        </row>
        <row r="246">
          <cell r="W246" t="str">
            <v>VS AP</v>
          </cell>
          <cell r="X246">
            <v>70</v>
          </cell>
        </row>
        <row r="249">
          <cell r="W249" t="str">
            <v>VS AP</v>
          </cell>
          <cell r="X249">
            <v>100</v>
          </cell>
        </row>
        <row r="309">
          <cell r="W309" t="str">
            <v>V HG</v>
          </cell>
          <cell r="X309">
            <v>125</v>
          </cell>
        </row>
        <row r="357">
          <cell r="W357" t="str">
            <v>VS AP</v>
          </cell>
          <cell r="X357">
            <v>250</v>
          </cell>
        </row>
        <row r="389">
          <cell r="W389" t="str">
            <v>VS AP</v>
          </cell>
        </row>
        <row r="439">
          <cell r="W439" t="str">
            <v>V HG</v>
          </cell>
          <cell r="X439">
            <v>125</v>
          </cell>
        </row>
        <row r="453">
          <cell r="W453" t="str">
            <v>VS AP</v>
          </cell>
          <cell r="X453">
            <v>250</v>
          </cell>
        </row>
        <row r="454">
          <cell r="X454">
            <v>250</v>
          </cell>
        </row>
        <row r="455">
          <cell r="W455" t="str">
            <v>VS AP</v>
          </cell>
        </row>
        <row r="456">
          <cell r="W456" t="str">
            <v>VS AP</v>
          </cell>
          <cell r="X456">
            <v>250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workbookViewId="0">
      <selection activeCell="B18" sqref="B18"/>
    </sheetView>
  </sheetViews>
  <sheetFormatPr baseColWidth="10" defaultRowHeight="15"/>
  <cols>
    <col min="1" max="1" width="35.28515625" customWidth="1"/>
    <col min="2" max="2" width="65.5703125" customWidth="1"/>
  </cols>
  <sheetData>
    <row r="2" spans="1:2">
      <c r="A2" s="125" t="s">
        <v>60</v>
      </c>
      <c r="B2" s="125"/>
    </row>
    <row r="3" spans="1:2" ht="28.5" customHeight="1">
      <c r="A3" s="14" t="s">
        <v>53</v>
      </c>
      <c r="B3" s="15" t="s">
        <v>65</v>
      </c>
    </row>
    <row r="4" spans="1:2" ht="28.5" customHeight="1">
      <c r="A4" s="14" t="s">
        <v>54</v>
      </c>
      <c r="B4" s="15" t="s">
        <v>65</v>
      </c>
    </row>
    <row r="5" spans="1:2" ht="28.5" customHeight="1">
      <c r="A5" s="14" t="s">
        <v>55</v>
      </c>
      <c r="B5" s="15" t="s">
        <v>65</v>
      </c>
    </row>
    <row r="6" spans="1:2" ht="28.5" customHeight="1">
      <c r="A6" s="14" t="s">
        <v>56</v>
      </c>
      <c r="B6" s="15" t="s">
        <v>65</v>
      </c>
    </row>
    <row r="7" spans="1:2" ht="28.5" customHeight="1">
      <c r="A7" s="14" t="s">
        <v>57</v>
      </c>
      <c r="B7" s="15" t="s">
        <v>65</v>
      </c>
    </row>
    <row r="8" spans="1:2" ht="28.5" customHeight="1">
      <c r="A8" s="14" t="s">
        <v>58</v>
      </c>
      <c r="B8" s="15" t="s">
        <v>65</v>
      </c>
    </row>
    <row r="9" spans="1:2" ht="28.5" customHeight="1">
      <c r="A9" s="14" t="s">
        <v>59</v>
      </c>
      <c r="B9" s="15" t="s">
        <v>65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0"/>
  <sheetViews>
    <sheetView showGridLines="0" tabSelected="1" topLeftCell="AL46" zoomScale="85" zoomScaleNormal="85" workbookViewId="0">
      <selection activeCell="AT58" sqref="AT58"/>
    </sheetView>
  </sheetViews>
  <sheetFormatPr baseColWidth="10" defaultRowHeight="15"/>
  <cols>
    <col min="1" max="1" width="8" style="35" customWidth="1"/>
    <col min="2" max="2" width="34.7109375" style="35" bestFit="1" customWidth="1"/>
    <col min="3" max="3" width="12.28515625" style="35" bestFit="1" customWidth="1"/>
    <col min="4" max="4" width="8" style="35" bestFit="1" customWidth="1"/>
    <col min="5" max="5" width="10.42578125" style="35" customWidth="1"/>
    <col min="6" max="6" width="7" style="35" customWidth="1"/>
    <col min="7" max="7" width="8.42578125" style="35" customWidth="1"/>
    <col min="8" max="8" width="8.28515625" style="35" customWidth="1"/>
    <col min="9" max="9" width="7.5703125" style="35" customWidth="1"/>
    <col min="10" max="10" width="9.28515625" style="35" customWidth="1"/>
    <col min="11" max="11" width="8.42578125" style="35" customWidth="1"/>
    <col min="12" max="12" width="7.28515625" style="35" customWidth="1"/>
    <col min="13" max="13" width="24.140625" style="35" hidden="1" customWidth="1"/>
    <col min="14" max="14" width="13.7109375" style="35" customWidth="1"/>
    <col min="15" max="15" width="10.140625" style="35" customWidth="1"/>
    <col min="16" max="16" width="11.42578125" style="35" hidden="1" customWidth="1"/>
    <col min="17" max="17" width="15" style="35" hidden="1" customWidth="1"/>
    <col min="18" max="18" width="11.42578125" style="35" customWidth="1"/>
    <col min="19" max="19" width="9.140625" style="35" customWidth="1"/>
    <col min="20" max="20" width="9" style="35" customWidth="1"/>
    <col min="21" max="21" width="10.5703125" style="59" customWidth="1"/>
    <col min="22" max="27" width="9" style="35" customWidth="1"/>
    <col min="28" max="28" width="31.5703125" style="35" customWidth="1"/>
    <col min="29" max="29" width="14.28515625" style="35" bestFit="1" customWidth="1"/>
    <col min="30" max="32" width="11.42578125" style="35"/>
    <col min="33" max="33" width="11.7109375" style="35" bestFit="1" customWidth="1"/>
    <col min="34" max="36" width="11.42578125" style="35"/>
    <col min="37" max="37" width="25.28515625" style="35" customWidth="1"/>
    <col min="38" max="38" width="14.140625" style="35" bestFit="1" customWidth="1"/>
    <col min="39" max="39" width="13.85546875" style="35" customWidth="1"/>
    <col min="40" max="40" width="11.42578125" style="35"/>
    <col min="41" max="41" width="13.85546875" style="35" bestFit="1" customWidth="1"/>
    <col min="42" max="42" width="14.7109375" style="35" bestFit="1" customWidth="1"/>
    <col min="43" max="43" width="11.42578125" style="35"/>
    <col min="44" max="44" width="44.5703125" style="35" customWidth="1"/>
    <col min="45" max="45" width="15.85546875" style="43" customWidth="1"/>
    <col min="46" max="46" width="11.7109375" style="35" bestFit="1" customWidth="1"/>
    <col min="47" max="48" width="11.42578125" style="35"/>
    <col min="49" max="49" width="15" style="35" customWidth="1"/>
    <col min="50" max="16384" width="11.42578125" style="35"/>
  </cols>
  <sheetData>
    <row r="1" spans="1:43" ht="23.25">
      <c r="A1" s="137" t="s">
        <v>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</row>
    <row r="2" spans="1:43" ht="15.75" thickBot="1"/>
    <row r="3" spans="1:43" ht="15.75" customHeight="1" thickBot="1">
      <c r="A3" s="131" t="s">
        <v>236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3"/>
      <c r="T3" s="134" t="s">
        <v>132</v>
      </c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6"/>
    </row>
    <row r="4" spans="1:43" ht="52.5" customHeight="1" thickBot="1">
      <c r="A4" s="30" t="s">
        <v>0</v>
      </c>
      <c r="B4" s="31" t="s">
        <v>13</v>
      </c>
      <c r="C4" s="31" t="s">
        <v>14</v>
      </c>
      <c r="D4" s="31" t="s">
        <v>15</v>
      </c>
      <c r="E4" s="31" t="s">
        <v>16</v>
      </c>
      <c r="F4" s="31" t="s">
        <v>46</v>
      </c>
      <c r="G4" s="31" t="s">
        <v>47</v>
      </c>
      <c r="H4" s="31" t="s">
        <v>48</v>
      </c>
      <c r="I4" s="31" t="s">
        <v>45</v>
      </c>
      <c r="J4" s="31" t="s">
        <v>49</v>
      </c>
      <c r="K4" s="31" t="s">
        <v>50</v>
      </c>
      <c r="L4" s="31" t="s">
        <v>51</v>
      </c>
      <c r="M4" s="31" t="s">
        <v>44</v>
      </c>
      <c r="N4" s="31" t="s">
        <v>1</v>
      </c>
      <c r="O4" s="31" t="s">
        <v>2</v>
      </c>
      <c r="P4" s="2" t="s">
        <v>69</v>
      </c>
      <c r="Q4" s="2" t="s">
        <v>3</v>
      </c>
      <c r="R4" s="1" t="s">
        <v>237</v>
      </c>
      <c r="S4" s="2" t="s">
        <v>6</v>
      </c>
      <c r="T4" s="1" t="s">
        <v>0</v>
      </c>
      <c r="U4" s="2" t="s">
        <v>62</v>
      </c>
      <c r="V4" s="2" t="s">
        <v>37</v>
      </c>
      <c r="W4" s="2" t="s">
        <v>38</v>
      </c>
      <c r="X4" s="2" t="s">
        <v>39</v>
      </c>
      <c r="Y4" s="2" t="s">
        <v>40</v>
      </c>
      <c r="Z4" s="2" t="s">
        <v>41</v>
      </c>
      <c r="AA4" s="2" t="s">
        <v>42</v>
      </c>
      <c r="AB4" s="2" t="s">
        <v>43</v>
      </c>
      <c r="AC4" s="31" t="s">
        <v>2</v>
      </c>
      <c r="AD4" s="2" t="s">
        <v>3</v>
      </c>
      <c r="AE4" s="1" t="s">
        <v>5</v>
      </c>
      <c r="AF4" s="2" t="s">
        <v>6</v>
      </c>
      <c r="AG4" s="21" t="s">
        <v>104</v>
      </c>
      <c r="AH4" s="21" t="s">
        <v>105</v>
      </c>
      <c r="AJ4" s="1" t="str">
        <f>T4</f>
        <v>Nº PL</v>
      </c>
      <c r="AK4" s="1" t="s">
        <v>117</v>
      </c>
      <c r="AL4" s="1" t="s">
        <v>118</v>
      </c>
      <c r="AM4" s="1" t="s">
        <v>183</v>
      </c>
      <c r="AN4" s="1" t="s">
        <v>119</v>
      </c>
      <c r="AO4" s="1" t="s">
        <v>120</v>
      </c>
      <c r="AP4" s="1" t="s">
        <v>121</v>
      </c>
      <c r="AQ4" s="1" t="s">
        <v>122</v>
      </c>
    </row>
    <row r="5" spans="1:43" ht="15.75" thickBot="1">
      <c r="A5" s="22">
        <v>31</v>
      </c>
      <c r="B5" s="22" t="s">
        <v>83</v>
      </c>
      <c r="C5" s="22" t="s">
        <v>64</v>
      </c>
      <c r="D5" s="22">
        <f>'[1]TABLA RESUMEN'!$I$185</f>
        <v>8</v>
      </c>
      <c r="E5" s="22">
        <v>48</v>
      </c>
      <c r="F5" s="23">
        <v>3.5</v>
      </c>
      <c r="G5" s="22">
        <v>1.8</v>
      </c>
      <c r="H5" s="22">
        <f>8.9-1.8*2</f>
        <v>5.3000000000000007</v>
      </c>
      <c r="I5" s="22"/>
      <c r="J5" s="22"/>
      <c r="K5" s="22">
        <v>1.8</v>
      </c>
      <c r="L5" s="22">
        <v>3.2</v>
      </c>
      <c r="M5" s="22"/>
      <c r="N5" s="22" t="str">
        <f>'[1]TABLA RESUMEN'!$W$185</f>
        <v>VS AP</v>
      </c>
      <c r="O5" s="25">
        <f>'[1]TABLA RESUMEN'!$X$185</f>
        <v>250</v>
      </c>
      <c r="P5" s="26">
        <f>12+19</f>
        <v>31</v>
      </c>
      <c r="Q5" s="27">
        <f>($N$42*O5*P5)/1000</f>
        <v>6.2</v>
      </c>
      <c r="R5" s="80">
        <f>Q5</f>
        <v>6.2</v>
      </c>
      <c r="S5" s="34">
        <f>R5*$N$42</f>
        <v>4.9600000000000009</v>
      </c>
      <c r="T5" s="29">
        <f>P5</f>
        <v>31</v>
      </c>
      <c r="U5" s="62" t="s">
        <v>133</v>
      </c>
      <c r="V5" s="60" t="s">
        <v>134</v>
      </c>
      <c r="W5" s="60">
        <v>12.5</v>
      </c>
      <c r="X5" s="60">
        <v>73</v>
      </c>
      <c r="Y5" s="60">
        <v>0.81</v>
      </c>
      <c r="Z5" s="60">
        <v>74</v>
      </c>
      <c r="AA5" s="60" t="s">
        <v>135</v>
      </c>
      <c r="AB5" s="60" t="s">
        <v>136</v>
      </c>
      <c r="AC5" s="60">
        <v>51</v>
      </c>
      <c r="AD5" s="27">
        <f>(T5*AC5)/1000</f>
        <v>1.581</v>
      </c>
      <c r="AE5" s="34">
        <f>T5*AC5</f>
        <v>1581</v>
      </c>
      <c r="AF5" s="81"/>
      <c r="AG5" s="27">
        <v>344.56</v>
      </c>
      <c r="AH5" s="27">
        <f>T5*AG5</f>
        <v>10681.36</v>
      </c>
      <c r="AJ5" s="52">
        <f>T5</f>
        <v>31</v>
      </c>
      <c r="AK5" s="45" t="str">
        <f>U5</f>
        <v>Estudio 5</v>
      </c>
      <c r="AL5" s="45">
        <f>(S5-AD5)*$AC$41</f>
        <v>13583.580000000004</v>
      </c>
      <c r="AM5" s="44">
        <f>(R5-AD5)*365</f>
        <v>1685.9349999999999</v>
      </c>
      <c r="AN5" s="53">
        <f>100%-(AD5/S5)</f>
        <v>0.68125000000000013</v>
      </c>
      <c r="AO5" s="45">
        <f>(AL5*$AL$46)+(AM5*$AL$47)</f>
        <v>1560.6702000000005</v>
      </c>
      <c r="AP5" s="44">
        <f>AH5</f>
        <v>10681.36</v>
      </c>
      <c r="AQ5" s="44">
        <f>AP5/AO5</f>
        <v>6.8440853166799736</v>
      </c>
    </row>
    <row r="6" spans="1:43" ht="15.75" thickBot="1">
      <c r="A6" s="17">
        <v>43</v>
      </c>
      <c r="B6" s="17" t="s">
        <v>84</v>
      </c>
      <c r="C6" s="17" t="s">
        <v>64</v>
      </c>
      <c r="D6" s="18">
        <v>8.8000000000000007</v>
      </c>
      <c r="E6" s="18">
        <v>56.2</v>
      </c>
      <c r="F6" s="19">
        <v>3.3</v>
      </c>
      <c r="G6" s="18"/>
      <c r="H6" s="18">
        <v>7.3</v>
      </c>
      <c r="I6" s="18"/>
      <c r="J6" s="18"/>
      <c r="K6" s="18"/>
      <c r="L6" s="18">
        <v>3.7</v>
      </c>
      <c r="M6" s="17"/>
      <c r="N6" s="17" t="str">
        <f>'[1]TABLA RESUMEN'!$W$357</f>
        <v>VS AP</v>
      </c>
      <c r="O6" s="28">
        <f>'[1]TABLA RESUMEN'!$X$357</f>
        <v>250</v>
      </c>
      <c r="P6" s="26">
        <f>7+36</f>
        <v>43</v>
      </c>
      <c r="Q6" s="27">
        <f t="shared" ref="Q6:Q38" si="0">($N$42*O6*P6)/1000</f>
        <v>8.6</v>
      </c>
      <c r="R6" s="80">
        <f t="shared" ref="R6:R38" si="1">Q6</f>
        <v>8.6</v>
      </c>
      <c r="S6" s="34">
        <f t="shared" ref="S6:S38" si="2">R6*$N$42</f>
        <v>6.88</v>
      </c>
      <c r="T6" s="29">
        <f t="shared" ref="T6:T38" si="3">P6</f>
        <v>43</v>
      </c>
      <c r="U6" s="63" t="s">
        <v>137</v>
      </c>
      <c r="V6" s="60" t="s">
        <v>134</v>
      </c>
      <c r="W6" s="82">
        <v>12.1</v>
      </c>
      <c r="X6" s="60">
        <v>65</v>
      </c>
      <c r="Y6" s="60">
        <v>0.81</v>
      </c>
      <c r="Z6" s="60">
        <v>58</v>
      </c>
      <c r="AA6" s="60" t="s">
        <v>135</v>
      </c>
      <c r="AB6" s="60" t="s">
        <v>138</v>
      </c>
      <c r="AC6" s="60">
        <v>51</v>
      </c>
      <c r="AD6" s="27">
        <f t="shared" ref="AD6:AD38" si="4">(T6*AC6)/1000</f>
        <v>2.1930000000000001</v>
      </c>
      <c r="AE6" s="34">
        <f t="shared" ref="AE6:AE38" si="5">T6*AC6</f>
        <v>2193</v>
      </c>
      <c r="AF6" s="81"/>
      <c r="AG6" s="27">
        <v>356.8</v>
      </c>
      <c r="AH6" s="27">
        <f t="shared" ref="AH6:AH38" si="6">T6*AG6</f>
        <v>15342.4</v>
      </c>
      <c r="AJ6" s="52">
        <f t="shared" ref="AJ6:AJ38" si="7">T6</f>
        <v>43</v>
      </c>
      <c r="AK6" s="45" t="str">
        <f t="shared" ref="AK6:AK38" si="8">U6</f>
        <v>Estudio 1</v>
      </c>
      <c r="AL6" s="45">
        <f t="shared" ref="AL6:AL38" si="9">(S6-AD6)*$AC$41</f>
        <v>18841.739999999998</v>
      </c>
      <c r="AM6" s="44">
        <f t="shared" ref="AM6:AM38" si="10">(R6-AD6)*365</f>
        <v>2338.5549999999998</v>
      </c>
      <c r="AN6" s="53">
        <f t="shared" ref="AN6:AN38" si="11">100%-(AD6/S6)</f>
        <v>0.68124999999999991</v>
      </c>
      <c r="AO6" s="45">
        <f t="shared" ref="AO6:AO38" si="12">(AL6*$AL$46)+(AM6*$AL$47)</f>
        <v>2164.8006</v>
      </c>
      <c r="AP6" s="44">
        <f t="shared" ref="AP6:AP38" si="13">AH6</f>
        <v>15342.4</v>
      </c>
      <c r="AQ6" s="44">
        <f t="shared" ref="AQ6:AQ39" si="14">AP6/AO6</f>
        <v>7.0872116351039445</v>
      </c>
    </row>
    <row r="7" spans="1:43" ht="15.75" thickBot="1">
      <c r="A7" s="17">
        <v>357</v>
      </c>
      <c r="B7" s="17" t="s">
        <v>85</v>
      </c>
      <c r="C7" s="17" t="s">
        <v>61</v>
      </c>
      <c r="D7" s="17">
        <v>6.2</v>
      </c>
      <c r="E7" s="17">
        <v>18</v>
      </c>
      <c r="F7" s="20">
        <v>0.96</v>
      </c>
      <c r="G7" s="17"/>
      <c r="H7" s="17">
        <v>4.5</v>
      </c>
      <c r="I7" s="17"/>
      <c r="J7" s="17"/>
      <c r="K7" s="17"/>
      <c r="L7" s="17"/>
      <c r="M7" s="17"/>
      <c r="N7" s="17" t="str">
        <f>'[1]TABLA RESUMEN'!$W$246</f>
        <v>VS AP</v>
      </c>
      <c r="O7" s="28">
        <f>'[1]TABLA RESUMEN'!$X$246</f>
        <v>70</v>
      </c>
      <c r="P7" s="26">
        <f>4+4+4+5+8+6+5+1+4+5+4+13+6+14+12+8+10+6+6+4+3+3+5+3+10+10+2+7+9+3+7+3+1+9+8+7+6+3+10+5+4+17+16+10+8+11+7+6+10+1+18+6</f>
        <v>357</v>
      </c>
      <c r="Q7" s="27">
        <f t="shared" si="0"/>
        <v>19.992000000000001</v>
      </c>
      <c r="R7" s="80">
        <f t="shared" si="1"/>
        <v>19.992000000000001</v>
      </c>
      <c r="S7" s="34">
        <f t="shared" si="2"/>
        <v>15.993600000000001</v>
      </c>
      <c r="T7" s="29">
        <f t="shared" si="3"/>
        <v>357</v>
      </c>
      <c r="U7" s="63" t="s">
        <v>145</v>
      </c>
      <c r="V7" s="60" t="s">
        <v>140</v>
      </c>
      <c r="W7" s="60">
        <v>70.7</v>
      </c>
      <c r="X7" s="60">
        <v>70</v>
      </c>
      <c r="Y7" s="60"/>
      <c r="Z7" s="60"/>
      <c r="AA7" s="60" t="s">
        <v>135</v>
      </c>
      <c r="AB7" s="60" t="s">
        <v>141</v>
      </c>
      <c r="AC7" s="60">
        <v>20</v>
      </c>
      <c r="AD7" s="27">
        <f t="shared" si="4"/>
        <v>7.14</v>
      </c>
      <c r="AE7" s="34">
        <f t="shared" si="5"/>
        <v>7140</v>
      </c>
      <c r="AF7" s="81"/>
      <c r="AG7" s="27">
        <v>310.89999999999998</v>
      </c>
      <c r="AH7" s="27">
        <f t="shared" si="6"/>
        <v>110991.29999999999</v>
      </c>
      <c r="AJ7" s="52">
        <f t="shared" si="7"/>
        <v>357</v>
      </c>
      <c r="AK7" s="45" t="str">
        <f t="shared" si="8"/>
        <v>Estudio 8</v>
      </c>
      <c r="AL7" s="45">
        <f t="shared" si="9"/>
        <v>35591.472000000002</v>
      </c>
      <c r="AM7" s="44">
        <f t="shared" si="10"/>
        <v>4690.9800000000005</v>
      </c>
      <c r="AN7" s="53">
        <f t="shared" si="11"/>
        <v>0.5535714285714286</v>
      </c>
      <c r="AO7" s="45">
        <f t="shared" si="12"/>
        <v>4122.0648000000001</v>
      </c>
      <c r="AP7" s="44">
        <f t="shared" si="13"/>
        <v>110991.29999999999</v>
      </c>
      <c r="AQ7" s="44">
        <f t="shared" si="14"/>
        <v>26.926141481327509</v>
      </c>
    </row>
    <row r="8" spans="1:43" ht="15.75" thickBot="1">
      <c r="A8" s="17">
        <v>969</v>
      </c>
      <c r="B8" s="17" t="s">
        <v>86</v>
      </c>
      <c r="C8" s="17" t="s">
        <v>61</v>
      </c>
      <c r="D8" s="17">
        <v>6</v>
      </c>
      <c r="E8" s="17">
        <v>16</v>
      </c>
      <c r="F8" s="20">
        <v>1.5</v>
      </c>
      <c r="G8" s="17">
        <v>1.8</v>
      </c>
      <c r="H8" s="17">
        <v>3.3</v>
      </c>
      <c r="I8" s="17"/>
      <c r="J8" s="17"/>
      <c r="K8" s="17">
        <v>1.8</v>
      </c>
      <c r="L8" s="17">
        <v>1.5</v>
      </c>
      <c r="M8" s="17"/>
      <c r="N8" s="17" t="str">
        <f>'[1]TABLA RESUMEN'!$W$16</f>
        <v>VS AP</v>
      </c>
      <c r="O8" s="28">
        <f>'[1]TABLA RESUMEN'!$X$16</f>
        <v>100</v>
      </c>
      <c r="P8" s="26">
        <f>4+8+5+7+7+7+5+4+20+5+6+4+8+4+3+19+8+8+13+15+10+6+17+5+26+8+5+19+7+13+8+9+8+4+5+2+17+8+3+13+18+4+18+7+6+10+8+26+15+8+5+17+4+4+6+10+4+7+4+10+3+10+5+3+7+8+9+3+7+14+7+5+2+11+18+5+7+3+8+7+1+14+8+7+4+12+1+9+5+4+5+7+12+15+8+2+12+4+2+8+9+3+3+3+8+16+2+5+11+3+5+14+5+4+7+5+9+4+7+2+8+10</f>
        <v>969</v>
      </c>
      <c r="Q8" s="27">
        <f t="shared" si="0"/>
        <v>77.52</v>
      </c>
      <c r="R8" s="80">
        <f t="shared" si="1"/>
        <v>77.52</v>
      </c>
      <c r="S8" s="34">
        <f t="shared" si="2"/>
        <v>62.015999999999998</v>
      </c>
      <c r="T8" s="29">
        <f t="shared" si="3"/>
        <v>969</v>
      </c>
      <c r="U8" s="64" t="s">
        <v>139</v>
      </c>
      <c r="V8" s="60" t="s">
        <v>140</v>
      </c>
      <c r="W8" s="60">
        <v>8.6999999999999993</v>
      </c>
      <c r="X8" s="60">
        <v>79</v>
      </c>
      <c r="Y8" s="60"/>
      <c r="Z8" s="60"/>
      <c r="AA8" s="60" t="s">
        <v>135</v>
      </c>
      <c r="AB8" s="60" t="s">
        <v>141</v>
      </c>
      <c r="AC8" s="60">
        <v>20</v>
      </c>
      <c r="AD8" s="27">
        <f t="shared" si="4"/>
        <v>19.38</v>
      </c>
      <c r="AE8" s="34">
        <f t="shared" si="5"/>
        <v>19380</v>
      </c>
      <c r="AF8" s="81"/>
      <c r="AG8" s="27">
        <v>310.89999999999998</v>
      </c>
      <c r="AH8" s="27">
        <f t="shared" si="6"/>
        <v>301262.09999999998</v>
      </c>
      <c r="AJ8" s="52">
        <f t="shared" si="7"/>
        <v>969</v>
      </c>
      <c r="AK8" s="45" t="str">
        <f t="shared" si="8"/>
        <v>Estudio 2</v>
      </c>
      <c r="AL8" s="45">
        <f t="shared" si="9"/>
        <v>171396.71999999997</v>
      </c>
      <c r="AM8" s="44">
        <f t="shared" si="10"/>
        <v>21221.1</v>
      </c>
      <c r="AN8" s="53">
        <f t="shared" si="11"/>
        <v>0.6875</v>
      </c>
      <c r="AO8" s="45">
        <f t="shared" si="12"/>
        <v>19686.203999999998</v>
      </c>
      <c r="AP8" s="44">
        <f t="shared" si="13"/>
        <v>301262.09999999998</v>
      </c>
      <c r="AQ8" s="44">
        <f t="shared" si="14"/>
        <v>15.303209293167948</v>
      </c>
    </row>
    <row r="9" spans="1:43" ht="15.75" thickBot="1">
      <c r="A9" s="17">
        <v>432</v>
      </c>
      <c r="B9" s="17" t="s">
        <v>87</v>
      </c>
      <c r="C9" s="17" t="s">
        <v>61</v>
      </c>
      <c r="D9" s="17">
        <v>6.7</v>
      </c>
      <c r="E9" s="17">
        <v>20</v>
      </c>
      <c r="F9" s="20"/>
      <c r="G9" s="17"/>
      <c r="H9" s="17"/>
      <c r="I9" s="17"/>
      <c r="J9" s="17"/>
      <c r="K9" s="17"/>
      <c r="L9" s="17"/>
      <c r="M9" s="17"/>
      <c r="N9" s="17" t="s">
        <v>70</v>
      </c>
      <c r="O9" s="28">
        <v>150</v>
      </c>
      <c r="P9" s="26">
        <f>2+10+26+8+7+15+8+2+4+26+20+8+8+7+5+6+5+26+2+7+2+10+16+6+3+8+18+6+3+7+3+3+2+9+24+38+11+13+2+10+12+2+8+14</f>
        <v>432</v>
      </c>
      <c r="Q9" s="27">
        <f t="shared" si="0"/>
        <v>51.84</v>
      </c>
      <c r="R9" s="80">
        <f t="shared" si="1"/>
        <v>51.84</v>
      </c>
      <c r="S9" s="34">
        <f t="shared" si="2"/>
        <v>41.472000000000008</v>
      </c>
      <c r="T9" s="29">
        <f t="shared" si="3"/>
        <v>432</v>
      </c>
      <c r="U9" s="64" t="s">
        <v>143</v>
      </c>
      <c r="V9" s="60" t="s">
        <v>140</v>
      </c>
      <c r="W9" s="60">
        <v>8.3000000000000007</v>
      </c>
      <c r="X9" s="60">
        <v>70</v>
      </c>
      <c r="Y9" s="60"/>
      <c r="Z9" s="60"/>
      <c r="AA9" s="60" t="s">
        <v>135</v>
      </c>
      <c r="AB9" s="60" t="s">
        <v>142</v>
      </c>
      <c r="AC9" s="60">
        <v>26</v>
      </c>
      <c r="AD9" s="27">
        <f t="shared" si="4"/>
        <v>11.231999999999999</v>
      </c>
      <c r="AE9" s="34">
        <f t="shared" si="5"/>
        <v>11232</v>
      </c>
      <c r="AF9" s="81"/>
      <c r="AG9" s="27">
        <v>318.89999999999998</v>
      </c>
      <c r="AH9" s="27">
        <f t="shared" si="6"/>
        <v>137764.79999999999</v>
      </c>
      <c r="AJ9" s="52">
        <f t="shared" si="7"/>
        <v>432</v>
      </c>
      <c r="AK9" s="45" t="str">
        <f t="shared" si="8"/>
        <v>Estudio 3</v>
      </c>
      <c r="AL9" s="45">
        <f t="shared" si="9"/>
        <v>121564.80000000003</v>
      </c>
      <c r="AM9" s="44">
        <f t="shared" si="10"/>
        <v>14821.920000000002</v>
      </c>
      <c r="AN9" s="53">
        <f t="shared" si="11"/>
        <v>0.72916666666666674</v>
      </c>
      <c r="AO9" s="45">
        <f t="shared" si="12"/>
        <v>13935.110400000003</v>
      </c>
      <c r="AP9" s="44">
        <f t="shared" si="13"/>
        <v>137764.79999999999</v>
      </c>
      <c r="AQ9" s="44">
        <f t="shared" si="14"/>
        <v>9.8861649492206354</v>
      </c>
    </row>
    <row r="10" spans="1:43" ht="15.75" thickBot="1">
      <c r="A10" s="17">
        <v>246</v>
      </c>
      <c r="B10" s="17" t="s">
        <v>88</v>
      </c>
      <c r="C10" s="17" t="s">
        <v>61</v>
      </c>
      <c r="D10" s="17">
        <v>6</v>
      </c>
      <c r="E10" s="17">
        <v>28</v>
      </c>
      <c r="F10" s="20">
        <v>2.2999999999999998</v>
      </c>
      <c r="G10" s="17"/>
      <c r="H10" s="17">
        <v>2.85</v>
      </c>
      <c r="I10" s="17"/>
      <c r="J10" s="17">
        <v>2.85</v>
      </c>
      <c r="K10" s="17"/>
      <c r="L10" s="17"/>
      <c r="M10" s="17"/>
      <c r="N10" s="17" t="str">
        <f>'[1]TABLA RESUMEN'!$W$13</f>
        <v>V HG</v>
      </c>
      <c r="O10" s="28">
        <f>'[1]TABLA RESUMEN'!$X$13</f>
        <v>125</v>
      </c>
      <c r="P10" s="26">
        <f>5+6+6+9+8+5+8+4+7+3+9+7+7+6+6+9+3+7+2+7+2+13+7+18+19+3+7+4+4+6+6+7+4+11+6+5</f>
        <v>246</v>
      </c>
      <c r="Q10" s="27">
        <f t="shared" si="0"/>
        <v>24.6</v>
      </c>
      <c r="R10" s="80">
        <f t="shared" si="1"/>
        <v>24.6</v>
      </c>
      <c r="S10" s="34">
        <f t="shared" si="2"/>
        <v>19.680000000000003</v>
      </c>
      <c r="T10" s="29">
        <f t="shared" si="3"/>
        <v>246</v>
      </c>
      <c r="U10" s="66" t="s">
        <v>146</v>
      </c>
      <c r="V10" s="60" t="s">
        <v>140</v>
      </c>
      <c r="W10" s="82">
        <v>8.9</v>
      </c>
      <c r="X10" s="60">
        <v>27</v>
      </c>
      <c r="Y10" s="60"/>
      <c r="Z10" s="60"/>
      <c r="AA10" s="60" t="s">
        <v>135</v>
      </c>
      <c r="AB10" s="60" t="s">
        <v>147</v>
      </c>
      <c r="AC10" s="60">
        <v>26</v>
      </c>
      <c r="AD10" s="27">
        <f t="shared" si="4"/>
        <v>6.3959999999999999</v>
      </c>
      <c r="AE10" s="34">
        <f t="shared" si="5"/>
        <v>6396</v>
      </c>
      <c r="AF10" s="81"/>
      <c r="AG10" s="27">
        <v>318.7</v>
      </c>
      <c r="AH10" s="27">
        <f t="shared" si="6"/>
        <v>78400.2</v>
      </c>
      <c r="AJ10" s="52">
        <f t="shared" si="7"/>
        <v>246</v>
      </c>
      <c r="AK10" s="45" t="str">
        <f t="shared" si="8"/>
        <v>Estudio 9</v>
      </c>
      <c r="AL10" s="45">
        <f t="shared" si="9"/>
        <v>53401.680000000008</v>
      </c>
      <c r="AM10" s="44">
        <f t="shared" si="10"/>
        <v>6644.46</v>
      </c>
      <c r="AN10" s="53">
        <f t="shared" si="11"/>
        <v>0.67500000000000004</v>
      </c>
      <c r="AO10" s="45">
        <f t="shared" si="12"/>
        <v>6137.503200000001</v>
      </c>
      <c r="AP10" s="44">
        <f t="shared" si="13"/>
        <v>78400.2</v>
      </c>
      <c r="AQ10" s="44">
        <f t="shared" si="14"/>
        <v>12.773956679973704</v>
      </c>
    </row>
    <row r="11" spans="1:43" ht="15.75" thickBot="1">
      <c r="A11" s="17">
        <v>71</v>
      </c>
      <c r="B11" s="17" t="s">
        <v>89</v>
      </c>
      <c r="C11" s="17" t="s">
        <v>61</v>
      </c>
      <c r="D11" s="17">
        <v>6.5</v>
      </c>
      <c r="E11" s="17">
        <v>17</v>
      </c>
      <c r="F11" s="20">
        <v>0.8</v>
      </c>
      <c r="G11" s="17"/>
      <c r="H11" s="17">
        <v>4</v>
      </c>
      <c r="I11" s="17"/>
      <c r="J11" s="17"/>
      <c r="K11" s="17"/>
      <c r="L11" s="17"/>
      <c r="M11" s="17"/>
      <c r="N11" s="17" t="str">
        <f>'[1]TABLA RESUMEN'!$W$198</f>
        <v>V HG</v>
      </c>
      <c r="O11" s="28">
        <f>'[1]TABLA RESUMEN'!$X$198</f>
        <v>125</v>
      </c>
      <c r="P11" s="26">
        <f>2+5+4+3+1+3+4+6+4+2+3+8+5+6+6+3+6</f>
        <v>71</v>
      </c>
      <c r="Q11" s="27">
        <f t="shared" si="0"/>
        <v>7.1</v>
      </c>
      <c r="R11" s="80">
        <f t="shared" si="1"/>
        <v>7.1</v>
      </c>
      <c r="S11" s="34">
        <f t="shared" si="2"/>
        <v>5.68</v>
      </c>
      <c r="T11" s="29">
        <f t="shared" si="3"/>
        <v>71</v>
      </c>
      <c r="U11" s="66" t="s">
        <v>148</v>
      </c>
      <c r="V11" s="60" t="s">
        <v>140</v>
      </c>
      <c r="W11" s="82">
        <v>7.5</v>
      </c>
      <c r="X11" s="60">
        <v>75</v>
      </c>
      <c r="Y11" s="60"/>
      <c r="Z11" s="60"/>
      <c r="AA11" s="60" t="s">
        <v>135</v>
      </c>
      <c r="AB11" s="60" t="s">
        <v>141</v>
      </c>
      <c r="AC11" s="60">
        <v>20</v>
      </c>
      <c r="AD11" s="27">
        <f t="shared" si="4"/>
        <v>1.42</v>
      </c>
      <c r="AE11" s="34">
        <f t="shared" si="5"/>
        <v>1420</v>
      </c>
      <c r="AF11" s="81"/>
      <c r="AG11" s="27">
        <v>310.89999999999998</v>
      </c>
      <c r="AH11" s="27">
        <f t="shared" si="6"/>
        <v>22073.899999999998</v>
      </c>
      <c r="AJ11" s="52">
        <f t="shared" si="7"/>
        <v>71</v>
      </c>
      <c r="AK11" s="45" t="str">
        <f t="shared" si="8"/>
        <v>Estudio 11</v>
      </c>
      <c r="AL11" s="45">
        <f t="shared" si="9"/>
        <v>17125.2</v>
      </c>
      <c r="AM11" s="44">
        <f t="shared" si="10"/>
        <v>2073.1999999999998</v>
      </c>
      <c r="AN11" s="53">
        <f t="shared" si="11"/>
        <v>0.75</v>
      </c>
      <c r="AO11" s="45">
        <f t="shared" si="12"/>
        <v>1961.3040000000001</v>
      </c>
      <c r="AP11" s="44">
        <f t="shared" si="13"/>
        <v>22073.899999999998</v>
      </c>
      <c r="AQ11" s="44">
        <f t="shared" si="14"/>
        <v>11.254706052707789</v>
      </c>
    </row>
    <row r="12" spans="1:43" ht="15.75" thickBot="1">
      <c r="A12" s="17">
        <v>59</v>
      </c>
      <c r="B12" s="17" t="s">
        <v>90</v>
      </c>
      <c r="C12" s="17" t="s">
        <v>66</v>
      </c>
      <c r="D12" s="17">
        <v>4.4000000000000004</v>
      </c>
      <c r="E12" s="17">
        <v>19</v>
      </c>
      <c r="F12" s="20">
        <v>1.5</v>
      </c>
      <c r="G12" s="17">
        <v>1.8</v>
      </c>
      <c r="H12" s="17">
        <f>8.9-1.8*2</f>
        <v>5.3000000000000007</v>
      </c>
      <c r="I12" s="17"/>
      <c r="J12" s="17"/>
      <c r="K12" s="17">
        <v>1.8</v>
      </c>
      <c r="L12" s="17">
        <v>1.5</v>
      </c>
      <c r="M12" s="17"/>
      <c r="N12" s="17" t="str">
        <f>'[1]TABLA RESUMEN'!$W$154</f>
        <v>V HG</v>
      </c>
      <c r="O12" s="28">
        <f>'[1]TABLA RESUMEN'!$X$154</f>
        <v>125</v>
      </c>
      <c r="P12" s="26">
        <f>6+8+3+3+7+3+7+12+10</f>
        <v>59</v>
      </c>
      <c r="Q12" s="27">
        <f t="shared" si="0"/>
        <v>5.9</v>
      </c>
      <c r="R12" s="80">
        <f t="shared" si="1"/>
        <v>5.9</v>
      </c>
      <c r="S12" s="34">
        <f t="shared" si="2"/>
        <v>4.7200000000000006</v>
      </c>
      <c r="T12" s="29">
        <f t="shared" si="3"/>
        <v>59</v>
      </c>
      <c r="U12" s="65" t="s">
        <v>149</v>
      </c>
      <c r="V12" s="60" t="s">
        <v>140</v>
      </c>
      <c r="W12" s="82">
        <v>15.4</v>
      </c>
      <c r="X12" s="60">
        <v>67</v>
      </c>
      <c r="Y12" s="60"/>
      <c r="Z12" s="60"/>
      <c r="AA12" s="60" t="s">
        <v>135</v>
      </c>
      <c r="AB12" s="60" t="s">
        <v>141</v>
      </c>
      <c r="AC12" s="60">
        <v>20</v>
      </c>
      <c r="AD12" s="27">
        <f t="shared" si="4"/>
        <v>1.18</v>
      </c>
      <c r="AE12" s="34">
        <f t="shared" si="5"/>
        <v>1180</v>
      </c>
      <c r="AF12" s="81"/>
      <c r="AG12" s="27">
        <v>310.89999999999998</v>
      </c>
      <c r="AH12" s="27">
        <f t="shared" si="6"/>
        <v>18343.099999999999</v>
      </c>
      <c r="AI12" s="35" t="s">
        <v>159</v>
      </c>
      <c r="AJ12" s="52">
        <f t="shared" si="7"/>
        <v>59</v>
      </c>
      <c r="AK12" s="45" t="str">
        <f t="shared" si="8"/>
        <v>Estudio 6</v>
      </c>
      <c r="AL12" s="45">
        <f t="shared" si="9"/>
        <v>14230.800000000003</v>
      </c>
      <c r="AM12" s="44">
        <f t="shared" si="10"/>
        <v>1722.8000000000002</v>
      </c>
      <c r="AN12" s="53">
        <f t="shared" si="11"/>
        <v>0.75</v>
      </c>
      <c r="AO12" s="45">
        <f t="shared" si="12"/>
        <v>1629.8160000000005</v>
      </c>
      <c r="AP12" s="44">
        <f t="shared" si="13"/>
        <v>18343.099999999999</v>
      </c>
      <c r="AQ12" s="44">
        <f t="shared" si="14"/>
        <v>11.254706052707785</v>
      </c>
    </row>
    <row r="13" spans="1:43" ht="15.75" thickBot="1">
      <c r="A13" s="17">
        <v>61</v>
      </c>
      <c r="B13" s="17" t="s">
        <v>91</v>
      </c>
      <c r="C13" s="17" t="s">
        <v>61</v>
      </c>
      <c r="D13" s="18">
        <v>6</v>
      </c>
      <c r="E13" s="18">
        <v>30</v>
      </c>
      <c r="F13" s="19">
        <v>0.8</v>
      </c>
      <c r="G13" s="18"/>
      <c r="H13" s="18">
        <v>4.4000000000000004</v>
      </c>
      <c r="I13" s="18"/>
      <c r="J13" s="18"/>
      <c r="K13" s="18"/>
      <c r="L13" s="18">
        <v>0.8</v>
      </c>
      <c r="M13" s="17"/>
      <c r="N13" s="17" t="str">
        <f>'[1]TABLA RESUMEN'!$W$309</f>
        <v>V HG</v>
      </c>
      <c r="O13" s="28">
        <f>'[1]TABLA RESUMEN'!$X$309</f>
        <v>125</v>
      </c>
      <c r="P13" s="26">
        <f>4+6+5+8+4+11+4+15+4</f>
        <v>61</v>
      </c>
      <c r="Q13" s="27">
        <f t="shared" si="0"/>
        <v>6.1</v>
      </c>
      <c r="R13" s="80">
        <f t="shared" si="1"/>
        <v>6.1</v>
      </c>
      <c r="S13" s="34">
        <f t="shared" si="2"/>
        <v>4.88</v>
      </c>
      <c r="T13" s="29">
        <f t="shared" si="3"/>
        <v>61</v>
      </c>
      <c r="U13" s="67" t="s">
        <v>150</v>
      </c>
      <c r="V13" s="60" t="s">
        <v>140</v>
      </c>
      <c r="W13" s="82">
        <v>88.3</v>
      </c>
      <c r="X13" s="60">
        <v>27</v>
      </c>
      <c r="Y13" s="60"/>
      <c r="Z13" s="60"/>
      <c r="AA13" s="60" t="s">
        <v>135</v>
      </c>
      <c r="AB13" s="60" t="s">
        <v>147</v>
      </c>
      <c r="AC13" s="60">
        <v>26</v>
      </c>
      <c r="AD13" s="27">
        <f t="shared" si="4"/>
        <v>1.5860000000000001</v>
      </c>
      <c r="AE13" s="34">
        <f t="shared" si="5"/>
        <v>1586</v>
      </c>
      <c r="AF13" s="81"/>
      <c r="AG13" s="27">
        <v>318.7</v>
      </c>
      <c r="AH13" s="27">
        <f t="shared" si="6"/>
        <v>19440.7</v>
      </c>
      <c r="AJ13" s="52">
        <f t="shared" si="7"/>
        <v>61</v>
      </c>
      <c r="AK13" s="45" t="str">
        <f t="shared" si="8"/>
        <v>Estudio 10</v>
      </c>
      <c r="AL13" s="45">
        <f t="shared" si="9"/>
        <v>13241.88</v>
      </c>
      <c r="AM13" s="44">
        <f t="shared" si="10"/>
        <v>1647.6099999999997</v>
      </c>
      <c r="AN13" s="53">
        <f t="shared" si="11"/>
        <v>0.67500000000000004</v>
      </c>
      <c r="AO13" s="45">
        <f t="shared" si="12"/>
        <v>1521.9012</v>
      </c>
      <c r="AP13" s="44">
        <f t="shared" si="13"/>
        <v>19440.7</v>
      </c>
      <c r="AQ13" s="44">
        <f t="shared" si="14"/>
        <v>12.773956679973708</v>
      </c>
    </row>
    <row r="14" spans="1:43" ht="15.75" thickBot="1">
      <c r="A14" s="17">
        <v>82</v>
      </c>
      <c r="B14" s="17" t="s">
        <v>92</v>
      </c>
      <c r="C14" s="17" t="s">
        <v>61</v>
      </c>
      <c r="D14" s="17">
        <v>8.9</v>
      </c>
      <c r="E14" s="17">
        <v>30</v>
      </c>
      <c r="F14" s="20">
        <v>2.1</v>
      </c>
      <c r="G14" s="17"/>
      <c r="H14" s="17">
        <v>7.8</v>
      </c>
      <c r="I14" s="17"/>
      <c r="J14" s="17"/>
      <c r="K14" s="17"/>
      <c r="L14" s="17">
        <v>2.1</v>
      </c>
      <c r="M14" s="17"/>
      <c r="N14" s="17" t="str">
        <f>'[1]TABLA RESUMEN'!$W$249</f>
        <v>VS AP</v>
      </c>
      <c r="O14" s="28">
        <f>'[1]TABLA RESUMEN'!$X$249</f>
        <v>100</v>
      </c>
      <c r="P14" s="26">
        <f>12+16+3+7+7+7+6+6+18</f>
        <v>82</v>
      </c>
      <c r="Q14" s="27">
        <f t="shared" si="0"/>
        <v>6.56</v>
      </c>
      <c r="R14" s="80">
        <f t="shared" si="1"/>
        <v>6.56</v>
      </c>
      <c r="S14" s="34">
        <f t="shared" si="2"/>
        <v>5.2480000000000002</v>
      </c>
      <c r="T14" s="29">
        <f t="shared" si="3"/>
        <v>82</v>
      </c>
      <c r="U14" s="68" t="s">
        <v>144</v>
      </c>
      <c r="V14" s="60" t="s">
        <v>140</v>
      </c>
      <c r="W14" s="60">
        <v>9</v>
      </c>
      <c r="X14" s="60">
        <v>64</v>
      </c>
      <c r="Y14" s="60"/>
      <c r="Z14" s="60"/>
      <c r="AA14" s="60" t="s">
        <v>135</v>
      </c>
      <c r="AB14" s="60" t="s">
        <v>136</v>
      </c>
      <c r="AC14" s="60">
        <v>51</v>
      </c>
      <c r="AD14" s="27">
        <f t="shared" si="4"/>
        <v>4.1820000000000004</v>
      </c>
      <c r="AE14" s="34">
        <f t="shared" si="5"/>
        <v>4182</v>
      </c>
      <c r="AF14" s="81"/>
      <c r="AG14" s="27">
        <v>344.56</v>
      </c>
      <c r="AH14" s="27">
        <f t="shared" si="6"/>
        <v>28253.920000000002</v>
      </c>
      <c r="AJ14" s="52">
        <f t="shared" si="7"/>
        <v>82</v>
      </c>
      <c r="AK14" s="45" t="str">
        <f t="shared" si="8"/>
        <v>Estudio 4</v>
      </c>
      <c r="AL14" s="45">
        <f t="shared" si="9"/>
        <v>4285.32</v>
      </c>
      <c r="AM14" s="44">
        <f t="shared" si="10"/>
        <v>867.96999999999969</v>
      </c>
      <c r="AN14" s="53">
        <f t="shared" si="11"/>
        <v>0.203125</v>
      </c>
      <c r="AO14" s="45">
        <f t="shared" si="12"/>
        <v>532.6884</v>
      </c>
      <c r="AP14" s="44">
        <f t="shared" si="13"/>
        <v>28253.920000000002</v>
      </c>
      <c r="AQ14" s="44">
        <f t="shared" si="14"/>
        <v>53.040238908900591</v>
      </c>
    </row>
    <row r="15" spans="1:43" ht="15.75" thickBot="1">
      <c r="A15" s="17">
        <f>'[1]TABLA RESUMEN'!$C$25</f>
        <v>257</v>
      </c>
      <c r="B15" s="17" t="s">
        <v>93</v>
      </c>
      <c r="C15" s="17" t="s">
        <v>66</v>
      </c>
      <c r="D15" s="17">
        <v>10</v>
      </c>
      <c r="E15" s="17">
        <v>39</v>
      </c>
      <c r="F15" s="20">
        <v>0.9</v>
      </c>
      <c r="G15" s="17"/>
      <c r="H15" s="17">
        <v>8</v>
      </c>
      <c r="I15" s="17">
        <v>2</v>
      </c>
      <c r="J15" s="17">
        <v>7.9</v>
      </c>
      <c r="K15" s="17"/>
      <c r="L15" s="17"/>
      <c r="M15" s="17"/>
      <c r="N15" s="17" t="str">
        <f>'[1]TABLA RESUMEN'!$W$25</f>
        <v>VS AP</v>
      </c>
      <c r="O15" s="28">
        <f>'[1]TABLA RESUMEN'!$X$25</f>
        <v>250</v>
      </c>
      <c r="P15" s="26">
        <f>A15</f>
        <v>257</v>
      </c>
      <c r="Q15" s="27">
        <f t="shared" si="0"/>
        <v>51.4</v>
      </c>
      <c r="R15" s="80">
        <f t="shared" si="1"/>
        <v>51.4</v>
      </c>
      <c r="S15" s="34">
        <f t="shared" si="2"/>
        <v>41.120000000000005</v>
      </c>
      <c r="T15" s="29">
        <f t="shared" si="3"/>
        <v>257</v>
      </c>
      <c r="U15" s="62" t="s">
        <v>151</v>
      </c>
      <c r="V15" s="60" t="s">
        <v>140</v>
      </c>
      <c r="W15" s="60">
        <v>9.1</v>
      </c>
      <c r="X15" s="60">
        <v>50</v>
      </c>
      <c r="Y15" s="60"/>
      <c r="Z15" s="60"/>
      <c r="AA15" s="60" t="s">
        <v>135</v>
      </c>
      <c r="AB15" s="60" t="s">
        <v>136</v>
      </c>
      <c r="AC15" s="60">
        <v>51</v>
      </c>
      <c r="AD15" s="27">
        <f t="shared" si="4"/>
        <v>13.106999999999999</v>
      </c>
      <c r="AE15" s="34">
        <f t="shared" si="5"/>
        <v>13107</v>
      </c>
      <c r="AF15" s="81"/>
      <c r="AG15" s="27">
        <v>344.56</v>
      </c>
      <c r="AH15" s="27">
        <f t="shared" si="6"/>
        <v>88551.92</v>
      </c>
      <c r="AI15" s="90"/>
      <c r="AJ15" s="52">
        <f t="shared" si="7"/>
        <v>257</v>
      </c>
      <c r="AK15" s="45" t="str">
        <f t="shared" si="8"/>
        <v>Estudio 15</v>
      </c>
      <c r="AL15" s="45">
        <f t="shared" si="9"/>
        <v>112612.26000000002</v>
      </c>
      <c r="AM15" s="44">
        <f t="shared" si="10"/>
        <v>13976.945</v>
      </c>
      <c r="AN15" s="53">
        <f t="shared" si="11"/>
        <v>0.68125000000000013</v>
      </c>
      <c r="AO15" s="45">
        <f t="shared" si="12"/>
        <v>12938.459400000002</v>
      </c>
      <c r="AP15" s="44">
        <f t="shared" si="13"/>
        <v>88551.92</v>
      </c>
      <c r="AQ15" s="44">
        <f t="shared" si="14"/>
        <v>6.8440853166799744</v>
      </c>
    </row>
    <row r="16" spans="1:43" ht="15.75" thickBot="1">
      <c r="A16" s="17">
        <f>70+186+188+33</f>
        <v>477</v>
      </c>
      <c r="B16" s="18" t="s">
        <v>67</v>
      </c>
      <c r="C16" s="17" t="s">
        <v>63</v>
      </c>
      <c r="D16" s="17">
        <v>7.9</v>
      </c>
      <c r="E16" s="17">
        <v>56.1</v>
      </c>
      <c r="F16" s="20">
        <v>4.4000000000000004</v>
      </c>
      <c r="G16" s="17"/>
      <c r="H16" s="17">
        <v>8.1999999999999993</v>
      </c>
      <c r="I16" s="17">
        <v>5</v>
      </c>
      <c r="J16" s="17">
        <v>8</v>
      </c>
      <c r="K16" s="17"/>
      <c r="L16" s="17">
        <v>3</v>
      </c>
      <c r="M16" s="17"/>
      <c r="N16" s="17" t="str">
        <f>'[1]TABLA RESUMEN'!$W$453</f>
        <v>VS AP</v>
      </c>
      <c r="O16" s="28">
        <f>'[1]TABLA RESUMEN'!$X$453</f>
        <v>250</v>
      </c>
      <c r="P16" s="26">
        <f t="shared" ref="P16:P38" si="15">A16</f>
        <v>477</v>
      </c>
      <c r="Q16" s="27">
        <f t="shared" si="0"/>
        <v>95.4</v>
      </c>
      <c r="R16" s="80">
        <f t="shared" si="1"/>
        <v>95.4</v>
      </c>
      <c r="S16" s="34">
        <f t="shared" si="2"/>
        <v>76.320000000000007</v>
      </c>
      <c r="T16" s="29">
        <f t="shared" si="3"/>
        <v>477</v>
      </c>
      <c r="U16" s="62" t="s">
        <v>152</v>
      </c>
      <c r="V16" s="60" t="s">
        <v>134</v>
      </c>
      <c r="W16" s="60">
        <v>13.1</v>
      </c>
      <c r="X16" s="60">
        <v>55</v>
      </c>
      <c r="Y16" s="60">
        <v>0.75</v>
      </c>
      <c r="Z16" s="60">
        <v>52</v>
      </c>
      <c r="AA16" s="60" t="s">
        <v>135</v>
      </c>
      <c r="AB16" s="60" t="s">
        <v>136</v>
      </c>
      <c r="AC16" s="60">
        <v>51</v>
      </c>
      <c r="AD16" s="27">
        <f t="shared" si="4"/>
        <v>24.327000000000002</v>
      </c>
      <c r="AE16" s="34">
        <f t="shared" si="5"/>
        <v>24327</v>
      </c>
      <c r="AF16" s="81"/>
      <c r="AG16" s="27">
        <v>344.56</v>
      </c>
      <c r="AH16" s="27">
        <f t="shared" si="6"/>
        <v>164355.12</v>
      </c>
      <c r="AJ16" s="52">
        <f t="shared" si="7"/>
        <v>477</v>
      </c>
      <c r="AK16" s="45" t="str">
        <f t="shared" si="8"/>
        <v>Estudio 12</v>
      </c>
      <c r="AL16" s="45">
        <f t="shared" si="9"/>
        <v>209011.86000000004</v>
      </c>
      <c r="AM16" s="44">
        <f t="shared" si="10"/>
        <v>25941.645000000004</v>
      </c>
      <c r="AN16" s="53">
        <f t="shared" si="11"/>
        <v>0.68125000000000002</v>
      </c>
      <c r="AO16" s="45">
        <f t="shared" si="12"/>
        <v>24014.183400000005</v>
      </c>
      <c r="AP16" s="44">
        <f t="shared" si="13"/>
        <v>164355.12</v>
      </c>
      <c r="AQ16" s="44">
        <f t="shared" si="14"/>
        <v>6.8440853166799736</v>
      </c>
    </row>
    <row r="17" spans="1:43" ht="15.75" thickBot="1">
      <c r="A17" s="20">
        <f>63+33+59+46</f>
        <v>201</v>
      </c>
      <c r="B17" s="18" t="s">
        <v>75</v>
      </c>
      <c r="C17" s="17" t="s">
        <v>66</v>
      </c>
      <c r="D17" s="17">
        <v>8.6999999999999993</v>
      </c>
      <c r="E17" s="20">
        <v>50</v>
      </c>
      <c r="F17" s="17"/>
      <c r="G17" s="17">
        <v>15</v>
      </c>
      <c r="H17" s="17"/>
      <c r="I17" s="17"/>
      <c r="J17" s="16"/>
      <c r="K17" s="17"/>
      <c r="L17" s="16"/>
      <c r="M17" s="17"/>
      <c r="N17" s="17" t="str">
        <f>'[1]TABLA RESUMEN'!$W$455</f>
        <v>VS AP</v>
      </c>
      <c r="O17" s="28">
        <f>'[1]TABLA RESUMEN'!$X$454</f>
        <v>250</v>
      </c>
      <c r="P17" s="26">
        <f t="shared" si="15"/>
        <v>201</v>
      </c>
      <c r="Q17" s="27">
        <f t="shared" si="0"/>
        <v>40.200000000000003</v>
      </c>
      <c r="R17" s="80">
        <f t="shared" si="1"/>
        <v>40.200000000000003</v>
      </c>
      <c r="S17" s="34">
        <f t="shared" si="2"/>
        <v>32.160000000000004</v>
      </c>
      <c r="T17" s="29">
        <f t="shared" si="3"/>
        <v>201</v>
      </c>
      <c r="U17" s="62" t="s">
        <v>153</v>
      </c>
      <c r="V17" s="60" t="s">
        <v>154</v>
      </c>
      <c r="W17" s="60">
        <v>12.5</v>
      </c>
      <c r="X17" s="60">
        <v>44</v>
      </c>
      <c r="Y17" s="60"/>
      <c r="Z17" s="60"/>
      <c r="AA17" s="60" t="s">
        <v>135</v>
      </c>
      <c r="AB17" s="60" t="s">
        <v>155</v>
      </c>
      <c r="AC17" s="60">
        <v>75</v>
      </c>
      <c r="AD17" s="27">
        <f t="shared" si="4"/>
        <v>15.074999999999999</v>
      </c>
      <c r="AE17" s="34">
        <f t="shared" si="5"/>
        <v>15075</v>
      </c>
      <c r="AF17" s="81"/>
      <c r="AG17" s="27">
        <v>412.3</v>
      </c>
      <c r="AH17" s="27">
        <f t="shared" si="6"/>
        <v>82872.3</v>
      </c>
      <c r="AJ17" s="52">
        <f t="shared" si="7"/>
        <v>201</v>
      </c>
      <c r="AK17" s="45" t="str">
        <f t="shared" si="8"/>
        <v>Estudio 13</v>
      </c>
      <c r="AL17" s="45">
        <f t="shared" si="9"/>
        <v>68681.700000000012</v>
      </c>
      <c r="AM17" s="44">
        <f t="shared" si="10"/>
        <v>9170.6250000000018</v>
      </c>
      <c r="AN17" s="53">
        <f t="shared" si="11"/>
        <v>0.53125</v>
      </c>
      <c r="AO17" s="45">
        <f t="shared" si="12"/>
        <v>7968.6450000000023</v>
      </c>
      <c r="AP17" s="44">
        <f t="shared" si="13"/>
        <v>82872.3</v>
      </c>
      <c r="AQ17" s="44">
        <f t="shared" si="14"/>
        <v>10.399798209105812</v>
      </c>
    </row>
    <row r="18" spans="1:43" ht="15.75" thickBot="1">
      <c r="A18" s="20">
        <f>40+51+27</f>
        <v>118</v>
      </c>
      <c r="B18" s="18" t="s">
        <v>68</v>
      </c>
      <c r="C18" s="17" t="s">
        <v>61</v>
      </c>
      <c r="D18" s="17">
        <v>8.4</v>
      </c>
      <c r="E18" s="20">
        <v>59.6</v>
      </c>
      <c r="F18" s="17">
        <v>2.4</v>
      </c>
      <c r="G18" s="17">
        <v>15</v>
      </c>
      <c r="H18" s="17"/>
      <c r="I18" s="17"/>
      <c r="J18" s="16"/>
      <c r="K18" s="17"/>
      <c r="L18" s="16"/>
      <c r="M18" s="17"/>
      <c r="N18" s="17" t="str">
        <f>'[1]TABLA RESUMEN'!$W$456</f>
        <v>VS AP</v>
      </c>
      <c r="O18" s="28">
        <f>'[1]TABLA RESUMEN'!$X$456</f>
        <v>250</v>
      </c>
      <c r="P18" s="26">
        <f t="shared" si="15"/>
        <v>118</v>
      </c>
      <c r="Q18" s="27">
        <f t="shared" si="0"/>
        <v>23.6</v>
      </c>
      <c r="R18" s="80">
        <f t="shared" si="1"/>
        <v>23.6</v>
      </c>
      <c r="S18" s="34">
        <f t="shared" si="2"/>
        <v>18.880000000000003</v>
      </c>
      <c r="T18" s="29">
        <f t="shared" si="3"/>
        <v>118</v>
      </c>
      <c r="U18" s="60" t="s">
        <v>156</v>
      </c>
      <c r="V18" s="60" t="s">
        <v>154</v>
      </c>
      <c r="W18" s="60">
        <v>10.7</v>
      </c>
      <c r="X18" s="60">
        <v>19</v>
      </c>
      <c r="Y18" s="60"/>
      <c r="Z18" s="60"/>
      <c r="AA18" s="60" t="s">
        <v>135</v>
      </c>
      <c r="AB18" s="60" t="s">
        <v>157</v>
      </c>
      <c r="AC18" s="60">
        <v>153</v>
      </c>
      <c r="AD18" s="27">
        <f t="shared" si="4"/>
        <v>18.053999999999998</v>
      </c>
      <c r="AE18" s="34">
        <f t="shared" si="5"/>
        <v>18054</v>
      </c>
      <c r="AF18" s="81"/>
      <c r="AG18" s="27">
        <v>598.4</v>
      </c>
      <c r="AH18" s="27">
        <f t="shared" si="6"/>
        <v>70611.199999999997</v>
      </c>
      <c r="AJ18" s="52">
        <f t="shared" si="7"/>
        <v>118</v>
      </c>
      <c r="AK18" s="45" t="str">
        <f t="shared" si="8"/>
        <v>Estudio 14</v>
      </c>
      <c r="AL18" s="45">
        <f t="shared" si="9"/>
        <v>3320.5200000000164</v>
      </c>
      <c r="AM18" s="44">
        <f t="shared" si="10"/>
        <v>2024.2900000000011</v>
      </c>
      <c r="AN18" s="53">
        <f t="shared" si="11"/>
        <v>4.3750000000000178E-2</v>
      </c>
      <c r="AO18" s="45">
        <f t="shared" si="12"/>
        <v>574.96680000000174</v>
      </c>
      <c r="AP18" s="44">
        <f t="shared" si="13"/>
        <v>70611.199999999997</v>
      </c>
      <c r="AQ18" s="44">
        <f t="shared" si="14"/>
        <v>122.80917785165992</v>
      </c>
    </row>
    <row r="19" spans="1:43" ht="15.75" thickBot="1">
      <c r="A19" s="17">
        <f>8+8+8+3+6+3+6+11+3+4+1+12+2+1+7</f>
        <v>83</v>
      </c>
      <c r="B19" s="17" t="s">
        <v>76</v>
      </c>
      <c r="C19" s="17" t="s">
        <v>61</v>
      </c>
      <c r="D19" s="17">
        <v>4.46</v>
      </c>
      <c r="E19" s="17">
        <v>13.65</v>
      </c>
      <c r="F19" s="20">
        <v>0.6</v>
      </c>
      <c r="G19" s="17"/>
      <c r="H19" s="17">
        <v>4.1500000000000004</v>
      </c>
      <c r="I19" s="17"/>
      <c r="J19" s="17"/>
      <c r="K19" s="17"/>
      <c r="L19" s="17">
        <v>0.6</v>
      </c>
      <c r="M19" s="17"/>
      <c r="N19" s="17" t="str">
        <f>'[1]TABLA RESUMEN'!$W$439</f>
        <v>V HG</v>
      </c>
      <c r="O19" s="28">
        <f>'[1]TABLA RESUMEN'!$X$439</f>
        <v>125</v>
      </c>
      <c r="P19" s="26">
        <f t="shared" si="15"/>
        <v>83</v>
      </c>
      <c r="Q19" s="27">
        <f t="shared" si="0"/>
        <v>8.3000000000000007</v>
      </c>
      <c r="R19" s="80">
        <f t="shared" si="1"/>
        <v>8.3000000000000007</v>
      </c>
      <c r="S19" s="34">
        <f t="shared" si="2"/>
        <v>6.6400000000000006</v>
      </c>
      <c r="T19" s="29">
        <f t="shared" si="3"/>
        <v>83</v>
      </c>
      <c r="U19" s="60" t="s">
        <v>158</v>
      </c>
      <c r="V19" s="60" t="s">
        <v>140</v>
      </c>
      <c r="W19" s="60">
        <v>13.5</v>
      </c>
      <c r="X19" s="60">
        <v>71</v>
      </c>
      <c r="Y19" s="60"/>
      <c r="Z19" s="60"/>
      <c r="AA19" s="60" t="s">
        <v>135</v>
      </c>
      <c r="AB19" s="60" t="s">
        <v>141</v>
      </c>
      <c r="AC19" s="60">
        <v>20</v>
      </c>
      <c r="AD19" s="27">
        <f t="shared" si="4"/>
        <v>1.66</v>
      </c>
      <c r="AE19" s="34">
        <f t="shared" si="5"/>
        <v>1660</v>
      </c>
      <c r="AF19" s="81"/>
      <c r="AG19" s="27">
        <v>310.89999999999998</v>
      </c>
      <c r="AH19" s="27">
        <f t="shared" si="6"/>
        <v>25804.699999999997</v>
      </c>
      <c r="AI19" s="35" t="s">
        <v>159</v>
      </c>
      <c r="AJ19" s="52">
        <f t="shared" si="7"/>
        <v>83</v>
      </c>
      <c r="AK19" s="45" t="str">
        <f t="shared" si="8"/>
        <v>Estudio 7</v>
      </c>
      <c r="AL19" s="45">
        <f t="shared" si="9"/>
        <v>20019.600000000002</v>
      </c>
      <c r="AM19" s="44">
        <f t="shared" si="10"/>
        <v>2423.6000000000004</v>
      </c>
      <c r="AN19" s="53">
        <f t="shared" si="11"/>
        <v>0.75</v>
      </c>
      <c r="AO19" s="45">
        <f t="shared" si="12"/>
        <v>2292.7920000000004</v>
      </c>
      <c r="AP19" s="44">
        <f t="shared" si="13"/>
        <v>25804.699999999997</v>
      </c>
      <c r="AQ19" s="44">
        <f t="shared" si="14"/>
        <v>11.254706052707787</v>
      </c>
    </row>
    <row r="20" spans="1:43" ht="15.75" thickBot="1">
      <c r="A20" s="17">
        <f>9+5+11+8+3+11+12</f>
        <v>59</v>
      </c>
      <c r="B20" s="17" t="s">
        <v>77</v>
      </c>
      <c r="C20" s="17" t="s">
        <v>61</v>
      </c>
      <c r="D20" s="17">
        <v>4.46</v>
      </c>
      <c r="E20" s="17">
        <v>13.65</v>
      </c>
      <c r="F20" s="20">
        <v>0.6</v>
      </c>
      <c r="G20" s="17"/>
      <c r="H20" s="17">
        <v>4.1500000000000004</v>
      </c>
      <c r="I20" s="17"/>
      <c r="J20" s="17"/>
      <c r="K20" s="17"/>
      <c r="L20" s="17">
        <v>0.6</v>
      </c>
      <c r="M20" s="17"/>
      <c r="N20" s="17" t="str">
        <f>'[1]TABLA RESUMEN'!$W$456</f>
        <v>VS AP</v>
      </c>
      <c r="O20" s="28">
        <v>100</v>
      </c>
      <c r="P20" s="26">
        <f t="shared" si="15"/>
        <v>59</v>
      </c>
      <c r="Q20" s="27">
        <f t="shared" si="0"/>
        <v>4.72</v>
      </c>
      <c r="R20" s="80">
        <f t="shared" si="1"/>
        <v>4.72</v>
      </c>
      <c r="S20" s="34">
        <f t="shared" si="2"/>
        <v>3.7759999999999998</v>
      </c>
      <c r="T20" s="29">
        <f t="shared" si="3"/>
        <v>59</v>
      </c>
      <c r="U20" s="60" t="s">
        <v>158</v>
      </c>
      <c r="V20" s="60" t="s">
        <v>140</v>
      </c>
      <c r="W20" s="60">
        <v>13.5</v>
      </c>
      <c r="X20" s="60">
        <v>71</v>
      </c>
      <c r="Y20" s="60"/>
      <c r="Z20" s="60"/>
      <c r="AA20" s="60" t="s">
        <v>135</v>
      </c>
      <c r="AB20" s="60" t="s">
        <v>141</v>
      </c>
      <c r="AC20" s="60">
        <v>20</v>
      </c>
      <c r="AD20" s="27">
        <f t="shared" si="4"/>
        <v>1.18</v>
      </c>
      <c r="AE20" s="34">
        <f t="shared" si="5"/>
        <v>1180</v>
      </c>
      <c r="AF20" s="81"/>
      <c r="AG20" s="27">
        <v>310.89999999999998</v>
      </c>
      <c r="AH20" s="27">
        <f t="shared" si="6"/>
        <v>18343.099999999999</v>
      </c>
      <c r="AI20" s="35" t="s">
        <v>159</v>
      </c>
      <c r="AJ20" s="52">
        <f t="shared" si="7"/>
        <v>59</v>
      </c>
      <c r="AK20" s="45" t="str">
        <f t="shared" si="8"/>
        <v>Estudio 7</v>
      </c>
      <c r="AL20" s="45">
        <f t="shared" si="9"/>
        <v>10435.92</v>
      </c>
      <c r="AM20" s="44">
        <f t="shared" si="10"/>
        <v>1292.0999999999999</v>
      </c>
      <c r="AN20" s="53">
        <f t="shared" si="11"/>
        <v>0.6875</v>
      </c>
      <c r="AO20" s="45">
        <f t="shared" si="12"/>
        <v>1198.644</v>
      </c>
      <c r="AP20" s="44">
        <f t="shared" si="13"/>
        <v>18343.099999999999</v>
      </c>
      <c r="AQ20" s="44">
        <f t="shared" si="14"/>
        <v>15.303209293167946</v>
      </c>
    </row>
    <row r="21" spans="1:43" ht="15.75" thickBot="1">
      <c r="A21" s="17">
        <v>44</v>
      </c>
      <c r="B21" s="18" t="s">
        <v>160</v>
      </c>
      <c r="C21" s="17" t="s">
        <v>168</v>
      </c>
      <c r="D21" s="18">
        <v>9.86</v>
      </c>
      <c r="E21" s="18">
        <v>30</v>
      </c>
      <c r="F21" s="19"/>
      <c r="G21" s="18"/>
      <c r="H21" s="18">
        <v>4.5</v>
      </c>
      <c r="I21" s="18">
        <v>5.0999999999999996</v>
      </c>
      <c r="J21" s="18">
        <v>4.5</v>
      </c>
      <c r="K21" s="18"/>
      <c r="L21" s="18">
        <v>5</v>
      </c>
      <c r="M21" s="18"/>
      <c r="N21" s="17" t="s">
        <v>70</v>
      </c>
      <c r="O21" s="28">
        <v>250</v>
      </c>
      <c r="P21" s="26">
        <f t="shared" si="15"/>
        <v>44</v>
      </c>
      <c r="Q21" s="27">
        <f t="shared" si="0"/>
        <v>8.8000000000000007</v>
      </c>
      <c r="R21" s="80">
        <f t="shared" si="1"/>
        <v>8.8000000000000007</v>
      </c>
      <c r="S21" s="34">
        <f t="shared" si="2"/>
        <v>7.0400000000000009</v>
      </c>
      <c r="T21" s="29">
        <f t="shared" si="3"/>
        <v>44</v>
      </c>
      <c r="U21" s="83" t="s">
        <v>165</v>
      </c>
      <c r="V21" s="69" t="s">
        <v>140</v>
      </c>
      <c r="W21" s="69">
        <v>7.5</v>
      </c>
      <c r="X21" s="69">
        <v>68</v>
      </c>
      <c r="Y21" s="69"/>
      <c r="Z21" s="69"/>
      <c r="AA21" s="69" t="s">
        <v>135</v>
      </c>
      <c r="AB21" s="69" t="s">
        <v>147</v>
      </c>
      <c r="AC21" s="60">
        <v>26</v>
      </c>
      <c r="AD21" s="27">
        <f t="shared" si="4"/>
        <v>1.1439999999999999</v>
      </c>
      <c r="AE21" s="34">
        <f t="shared" si="5"/>
        <v>1144</v>
      </c>
      <c r="AF21" s="81"/>
      <c r="AG21" s="27">
        <v>318.7</v>
      </c>
      <c r="AH21" s="27">
        <f t="shared" si="6"/>
        <v>14022.8</v>
      </c>
      <c r="AJ21" s="52">
        <f t="shared" si="7"/>
        <v>44</v>
      </c>
      <c r="AK21" s="45" t="str">
        <f t="shared" si="8"/>
        <v>Estudio 16</v>
      </c>
      <c r="AL21" s="45">
        <f t="shared" si="9"/>
        <v>23701.920000000002</v>
      </c>
      <c r="AM21" s="44">
        <f t="shared" si="10"/>
        <v>2794.44</v>
      </c>
      <c r="AN21" s="53">
        <f t="shared" si="11"/>
        <v>0.83750000000000002</v>
      </c>
      <c r="AO21" s="45">
        <f t="shared" si="12"/>
        <v>2705.5248000000006</v>
      </c>
      <c r="AP21" s="44">
        <f t="shared" si="13"/>
        <v>14022.8</v>
      </c>
      <c r="AQ21" s="44">
        <f t="shared" si="14"/>
        <v>5.1830240107205805</v>
      </c>
    </row>
    <row r="22" spans="1:43" ht="15.75" thickBot="1">
      <c r="A22" s="17">
        <v>26</v>
      </c>
      <c r="B22" s="18" t="s">
        <v>161</v>
      </c>
      <c r="C22" s="18" t="s">
        <v>63</v>
      </c>
      <c r="D22" s="18">
        <v>10</v>
      </c>
      <c r="E22" s="18">
        <v>60</v>
      </c>
      <c r="F22" s="19">
        <v>5</v>
      </c>
      <c r="G22" s="18">
        <v>4.8</v>
      </c>
      <c r="H22" s="18">
        <v>6.85</v>
      </c>
      <c r="I22" s="18">
        <v>17.3</v>
      </c>
      <c r="J22" s="18">
        <v>6.85</v>
      </c>
      <c r="K22" s="18">
        <v>4.8</v>
      </c>
      <c r="L22" s="18">
        <v>2.5</v>
      </c>
      <c r="M22" s="17"/>
      <c r="N22" s="17" t="s">
        <v>70</v>
      </c>
      <c r="O22" s="28">
        <v>150</v>
      </c>
      <c r="P22" s="26">
        <f t="shared" si="15"/>
        <v>26</v>
      </c>
      <c r="Q22" s="27">
        <f t="shared" si="0"/>
        <v>3.12</v>
      </c>
      <c r="R22" s="80">
        <f t="shared" si="1"/>
        <v>3.12</v>
      </c>
      <c r="S22" s="34">
        <f t="shared" si="2"/>
        <v>2.4960000000000004</v>
      </c>
      <c r="T22" s="29">
        <f t="shared" si="3"/>
        <v>26</v>
      </c>
      <c r="U22" s="83" t="s">
        <v>166</v>
      </c>
      <c r="V22" s="69" t="s">
        <v>140</v>
      </c>
      <c r="W22" s="69">
        <v>8.3000000000000007</v>
      </c>
      <c r="X22" s="69">
        <v>45</v>
      </c>
      <c r="Y22" s="69"/>
      <c r="Z22" s="69"/>
      <c r="AA22" s="69" t="s">
        <v>135</v>
      </c>
      <c r="AB22" s="69" t="s">
        <v>169</v>
      </c>
      <c r="AC22" s="60">
        <v>122</v>
      </c>
      <c r="AD22" s="27">
        <f t="shared" si="4"/>
        <v>3.1720000000000002</v>
      </c>
      <c r="AE22" s="34">
        <f t="shared" si="5"/>
        <v>3172</v>
      </c>
      <c r="AF22" s="81"/>
      <c r="AG22" s="27">
        <v>589.5</v>
      </c>
      <c r="AH22" s="27">
        <f t="shared" si="6"/>
        <v>15327</v>
      </c>
      <c r="AJ22" s="52">
        <f t="shared" si="7"/>
        <v>26</v>
      </c>
      <c r="AK22" s="45" t="str">
        <f t="shared" si="8"/>
        <v>Estudio 17</v>
      </c>
      <c r="AL22" s="45">
        <f t="shared" si="9"/>
        <v>-2717.5199999999986</v>
      </c>
      <c r="AM22" s="44">
        <f t="shared" si="10"/>
        <v>-18.980000000000018</v>
      </c>
      <c r="AN22" s="53">
        <f t="shared" si="11"/>
        <v>-0.27083333333333326</v>
      </c>
      <c r="AO22" s="45">
        <f t="shared" si="12"/>
        <v>-274.0295999999999</v>
      </c>
      <c r="AP22" s="44">
        <f t="shared" si="13"/>
        <v>15327</v>
      </c>
      <c r="AQ22" s="44">
        <f t="shared" si="14"/>
        <v>-55.931913924627139</v>
      </c>
    </row>
    <row r="23" spans="1:43" ht="15.75" thickBot="1">
      <c r="A23" s="17">
        <v>92</v>
      </c>
      <c r="B23" s="18" t="s">
        <v>162</v>
      </c>
      <c r="C23" s="18" t="s">
        <v>63</v>
      </c>
      <c r="D23" s="18">
        <v>10</v>
      </c>
      <c r="E23" s="18">
        <v>28</v>
      </c>
      <c r="F23" s="19">
        <v>2.6</v>
      </c>
      <c r="G23" s="18">
        <v>2.2999999999999998</v>
      </c>
      <c r="H23" s="18">
        <v>6</v>
      </c>
      <c r="I23" s="18">
        <v>4.5999999999999996</v>
      </c>
      <c r="J23" s="18">
        <v>6</v>
      </c>
      <c r="K23" s="18">
        <v>2.2999999999999998</v>
      </c>
      <c r="L23" s="18">
        <v>2.6</v>
      </c>
      <c r="M23" s="17"/>
      <c r="N23" s="17" t="s">
        <v>70</v>
      </c>
      <c r="O23" s="28">
        <v>250</v>
      </c>
      <c r="P23" s="26">
        <f t="shared" si="15"/>
        <v>92</v>
      </c>
      <c r="Q23" s="27">
        <f t="shared" si="0"/>
        <v>18.399999999999999</v>
      </c>
      <c r="R23" s="80">
        <f t="shared" si="1"/>
        <v>18.399999999999999</v>
      </c>
      <c r="S23" s="34">
        <f t="shared" si="2"/>
        <v>14.719999999999999</v>
      </c>
      <c r="T23" s="29">
        <f t="shared" si="3"/>
        <v>92</v>
      </c>
      <c r="U23" s="83" t="s">
        <v>167</v>
      </c>
      <c r="V23" s="69" t="s">
        <v>140</v>
      </c>
      <c r="W23" s="69">
        <v>8.6999999999999993</v>
      </c>
      <c r="X23" s="69">
        <v>70</v>
      </c>
      <c r="Y23" s="69"/>
      <c r="Z23" s="69"/>
      <c r="AA23" s="69" t="s">
        <v>135</v>
      </c>
      <c r="AB23" s="69" t="s">
        <v>170</v>
      </c>
      <c r="AC23" s="60">
        <v>38</v>
      </c>
      <c r="AD23" s="27">
        <f t="shared" si="4"/>
        <v>3.496</v>
      </c>
      <c r="AE23" s="34">
        <f t="shared" si="5"/>
        <v>3496</v>
      </c>
      <c r="AF23" s="81"/>
      <c r="AG23" s="27">
        <v>350.45</v>
      </c>
      <c r="AH23" s="27">
        <f t="shared" si="6"/>
        <v>32241.399999999998</v>
      </c>
      <c r="AJ23" s="52">
        <f t="shared" si="7"/>
        <v>92</v>
      </c>
      <c r="AK23" s="45" t="str">
        <f t="shared" si="8"/>
        <v>Estudio 18</v>
      </c>
      <c r="AL23" s="45">
        <f t="shared" si="9"/>
        <v>45120.479999999996</v>
      </c>
      <c r="AM23" s="44">
        <f t="shared" si="10"/>
        <v>5439.9599999999991</v>
      </c>
      <c r="AN23" s="53">
        <f t="shared" si="11"/>
        <v>0.76249999999999996</v>
      </c>
      <c r="AO23" s="45">
        <f t="shared" si="12"/>
        <v>5164.8431999999993</v>
      </c>
      <c r="AP23" s="44">
        <f t="shared" si="13"/>
        <v>32241.399999999998</v>
      </c>
      <c r="AQ23" s="44">
        <f t="shared" si="14"/>
        <v>6.2424741180913301</v>
      </c>
    </row>
    <row r="24" spans="1:43" ht="15.75" thickBot="1">
      <c r="A24" s="17">
        <v>7</v>
      </c>
      <c r="B24" s="18" t="s">
        <v>163</v>
      </c>
      <c r="C24" s="18" t="s">
        <v>61</v>
      </c>
      <c r="D24" s="18">
        <v>10</v>
      </c>
      <c r="E24" s="18">
        <v>29</v>
      </c>
      <c r="F24" s="19">
        <v>2.5</v>
      </c>
      <c r="G24" s="18">
        <v>3.1</v>
      </c>
      <c r="H24" s="18">
        <v>7.7</v>
      </c>
      <c r="I24" s="18"/>
      <c r="J24" s="18"/>
      <c r="K24" s="18"/>
      <c r="L24" s="18">
        <v>2.8</v>
      </c>
      <c r="M24" s="17"/>
      <c r="N24" s="17" t="s">
        <v>70</v>
      </c>
      <c r="O24" s="28">
        <v>250</v>
      </c>
      <c r="P24" s="26">
        <f t="shared" si="15"/>
        <v>7</v>
      </c>
      <c r="Q24" s="27">
        <f t="shared" si="0"/>
        <v>1.4</v>
      </c>
      <c r="R24" s="80">
        <f t="shared" si="1"/>
        <v>1.4</v>
      </c>
      <c r="S24" s="34">
        <f t="shared" si="2"/>
        <v>1.1199999999999999</v>
      </c>
      <c r="T24" s="29">
        <f t="shared" si="3"/>
        <v>7</v>
      </c>
      <c r="U24" s="83" t="s">
        <v>171</v>
      </c>
      <c r="V24" s="69" t="s">
        <v>140</v>
      </c>
      <c r="W24" s="69">
        <v>8.1</v>
      </c>
      <c r="X24" s="69">
        <v>73</v>
      </c>
      <c r="Y24" s="69"/>
      <c r="Z24" s="69"/>
      <c r="AA24" s="69" t="s">
        <v>135</v>
      </c>
      <c r="AB24" s="69" t="s">
        <v>172</v>
      </c>
      <c r="AC24" s="60">
        <v>51</v>
      </c>
      <c r="AD24" s="27">
        <f t="shared" si="4"/>
        <v>0.35699999999999998</v>
      </c>
      <c r="AE24" s="34">
        <f t="shared" si="5"/>
        <v>357</v>
      </c>
      <c r="AF24" s="81"/>
      <c r="AG24" s="27">
        <v>344.56</v>
      </c>
      <c r="AH24" s="27">
        <f t="shared" si="6"/>
        <v>2411.92</v>
      </c>
      <c r="AJ24" s="52">
        <f t="shared" si="7"/>
        <v>7</v>
      </c>
      <c r="AK24" s="45" t="str">
        <f t="shared" si="8"/>
        <v>Estudio 19</v>
      </c>
      <c r="AL24" s="45">
        <f t="shared" si="9"/>
        <v>3067.2599999999998</v>
      </c>
      <c r="AM24" s="44">
        <f t="shared" si="10"/>
        <v>380.69499999999999</v>
      </c>
      <c r="AN24" s="53">
        <f t="shared" si="11"/>
        <v>0.68124999999999991</v>
      </c>
      <c r="AO24" s="45">
        <f t="shared" si="12"/>
        <v>352.40940000000001</v>
      </c>
      <c r="AP24" s="44">
        <f t="shared" si="13"/>
        <v>2411.92</v>
      </c>
      <c r="AQ24" s="44">
        <f t="shared" si="14"/>
        <v>6.8440853166799753</v>
      </c>
    </row>
    <row r="25" spans="1:43" ht="15.75" thickBot="1">
      <c r="A25" s="17">
        <v>137</v>
      </c>
      <c r="B25" s="18" t="s">
        <v>164</v>
      </c>
      <c r="C25" s="18" t="s">
        <v>61</v>
      </c>
      <c r="D25" s="18">
        <v>10</v>
      </c>
      <c r="E25" s="18">
        <v>25</v>
      </c>
      <c r="F25" s="19">
        <v>2.5</v>
      </c>
      <c r="G25" s="18">
        <v>2.5</v>
      </c>
      <c r="H25" s="18">
        <v>6.5</v>
      </c>
      <c r="I25" s="18"/>
      <c r="J25" s="18"/>
      <c r="K25" s="18"/>
      <c r="L25" s="18">
        <v>2.5</v>
      </c>
      <c r="M25" s="17"/>
      <c r="N25" s="17" t="s">
        <v>70</v>
      </c>
      <c r="O25" s="28">
        <v>100</v>
      </c>
      <c r="P25" s="26">
        <f t="shared" si="15"/>
        <v>137</v>
      </c>
      <c r="Q25" s="27">
        <f t="shared" si="0"/>
        <v>10.96</v>
      </c>
      <c r="R25" s="80">
        <f t="shared" si="1"/>
        <v>10.96</v>
      </c>
      <c r="S25" s="34">
        <f t="shared" si="2"/>
        <v>8.7680000000000007</v>
      </c>
      <c r="T25" s="29">
        <f t="shared" si="3"/>
        <v>137</v>
      </c>
      <c r="U25" s="83" t="s">
        <v>173</v>
      </c>
      <c r="V25" s="69" t="s">
        <v>140</v>
      </c>
      <c r="W25" s="69">
        <v>8.8000000000000007</v>
      </c>
      <c r="X25" s="69">
        <v>80</v>
      </c>
      <c r="Y25" s="69"/>
      <c r="Z25" s="69"/>
      <c r="AA25" s="69" t="s">
        <v>135</v>
      </c>
      <c r="AB25" s="69" t="s">
        <v>174</v>
      </c>
      <c r="AC25" s="60">
        <v>38</v>
      </c>
      <c r="AD25" s="27">
        <f t="shared" si="4"/>
        <v>5.2060000000000004</v>
      </c>
      <c r="AE25" s="34">
        <f t="shared" si="5"/>
        <v>5206</v>
      </c>
      <c r="AF25" s="81"/>
      <c r="AG25" s="27">
        <v>251.4</v>
      </c>
      <c r="AH25" s="27">
        <f t="shared" si="6"/>
        <v>34441.800000000003</v>
      </c>
      <c r="AJ25" s="52">
        <f t="shared" si="7"/>
        <v>137</v>
      </c>
      <c r="AK25" s="45" t="str">
        <f t="shared" si="8"/>
        <v>Estudio 20</v>
      </c>
      <c r="AL25" s="45">
        <f t="shared" si="9"/>
        <v>14319.240000000002</v>
      </c>
      <c r="AM25" s="44">
        <f t="shared" si="10"/>
        <v>2100.21</v>
      </c>
      <c r="AN25" s="53">
        <f t="shared" si="11"/>
        <v>0.40625</v>
      </c>
      <c r="AO25" s="45">
        <f t="shared" si="12"/>
        <v>1683.9492000000002</v>
      </c>
      <c r="AP25" s="44">
        <f t="shared" si="13"/>
        <v>34441.800000000003</v>
      </c>
      <c r="AQ25" s="44">
        <f t="shared" si="14"/>
        <v>20.452992287415796</v>
      </c>
    </row>
    <row r="26" spans="1:43" ht="15.75" thickBot="1">
      <c r="A26" s="17">
        <v>68</v>
      </c>
      <c r="B26" s="18" t="s">
        <v>73</v>
      </c>
      <c r="C26" s="17" t="s">
        <v>61</v>
      </c>
      <c r="D26" s="17">
        <v>5.7</v>
      </c>
      <c r="E26" s="17">
        <v>25</v>
      </c>
      <c r="F26" s="20">
        <v>0.9</v>
      </c>
      <c r="G26" s="17"/>
      <c r="H26" s="17">
        <v>6</v>
      </c>
      <c r="I26" s="17"/>
      <c r="J26" s="17"/>
      <c r="K26" s="17"/>
      <c r="L26" s="17">
        <v>1</v>
      </c>
      <c r="M26" s="17"/>
      <c r="N26" s="17" t="str">
        <f>'[1]TABLA RESUMEN'!$W$389</f>
        <v>VS AP</v>
      </c>
      <c r="O26" s="28">
        <v>100</v>
      </c>
      <c r="P26" s="26">
        <f t="shared" si="15"/>
        <v>68</v>
      </c>
      <c r="Q26" s="27">
        <f t="shared" si="0"/>
        <v>5.44</v>
      </c>
      <c r="R26" s="80">
        <f t="shared" si="1"/>
        <v>5.44</v>
      </c>
      <c r="S26" s="34">
        <f t="shared" si="2"/>
        <v>4.3520000000000003</v>
      </c>
      <c r="T26" s="29">
        <f t="shared" si="3"/>
        <v>68</v>
      </c>
      <c r="U26" s="66" t="s">
        <v>146</v>
      </c>
      <c r="V26" s="60" t="s">
        <v>140</v>
      </c>
      <c r="W26" s="82">
        <v>8.9</v>
      </c>
      <c r="X26" s="60">
        <v>27</v>
      </c>
      <c r="Y26" s="60"/>
      <c r="Z26" s="60"/>
      <c r="AA26" s="60" t="s">
        <v>135</v>
      </c>
      <c r="AB26" s="60" t="s">
        <v>147</v>
      </c>
      <c r="AC26" s="60">
        <v>26</v>
      </c>
      <c r="AD26" s="27">
        <f t="shared" si="4"/>
        <v>1.768</v>
      </c>
      <c r="AE26" s="34">
        <f t="shared" si="5"/>
        <v>1768</v>
      </c>
      <c r="AF26" s="81"/>
      <c r="AG26" s="27">
        <v>314.8</v>
      </c>
      <c r="AH26" s="27">
        <f t="shared" si="6"/>
        <v>21406.400000000001</v>
      </c>
      <c r="AJ26" s="52">
        <f t="shared" si="7"/>
        <v>68</v>
      </c>
      <c r="AK26" s="45" t="str">
        <f t="shared" si="8"/>
        <v>Estudio 9</v>
      </c>
      <c r="AL26" s="45">
        <f t="shared" si="9"/>
        <v>10387.680000000002</v>
      </c>
      <c r="AM26" s="44">
        <f t="shared" si="10"/>
        <v>1340.2800000000002</v>
      </c>
      <c r="AN26" s="53">
        <f t="shared" si="11"/>
        <v>0.59375</v>
      </c>
      <c r="AO26" s="45">
        <f t="shared" si="12"/>
        <v>1199.6016000000002</v>
      </c>
      <c r="AP26" s="44">
        <f t="shared" si="13"/>
        <v>21406.400000000001</v>
      </c>
      <c r="AQ26" s="44">
        <f t="shared" si="14"/>
        <v>17.844591070902204</v>
      </c>
    </row>
    <row r="27" spans="1:43" ht="15.75" thickBot="1">
      <c r="A27" s="17">
        <v>27</v>
      </c>
      <c r="B27" s="18" t="s">
        <v>74</v>
      </c>
      <c r="C27" s="17" t="s">
        <v>61</v>
      </c>
      <c r="D27" s="17">
        <v>9.25</v>
      </c>
      <c r="E27" s="17">
        <v>24.15</v>
      </c>
      <c r="F27" s="20">
        <v>3</v>
      </c>
      <c r="G27" s="17"/>
      <c r="H27" s="17">
        <v>12.42</v>
      </c>
      <c r="I27" s="17"/>
      <c r="J27" s="17"/>
      <c r="K27" s="17"/>
      <c r="L27" s="17"/>
      <c r="M27" s="17"/>
      <c r="N27" s="17" t="str">
        <f>'[1]TABLA RESUMEN'!$W$389</f>
        <v>VS AP</v>
      </c>
      <c r="O27" s="28">
        <v>150</v>
      </c>
      <c r="P27" s="26">
        <f t="shared" si="15"/>
        <v>27</v>
      </c>
      <c r="Q27" s="27">
        <f t="shared" si="0"/>
        <v>3.24</v>
      </c>
      <c r="R27" s="80">
        <f t="shared" si="1"/>
        <v>3.24</v>
      </c>
      <c r="S27" s="34">
        <f t="shared" si="2"/>
        <v>2.5920000000000005</v>
      </c>
      <c r="T27" s="29">
        <f t="shared" si="3"/>
        <v>27</v>
      </c>
      <c r="U27" s="68" t="s">
        <v>144</v>
      </c>
      <c r="V27" s="60" t="s">
        <v>140</v>
      </c>
      <c r="W27" s="60">
        <v>9</v>
      </c>
      <c r="X27" s="60">
        <v>64</v>
      </c>
      <c r="Y27" s="60"/>
      <c r="Z27" s="60"/>
      <c r="AA27" s="60" t="s">
        <v>135</v>
      </c>
      <c r="AB27" s="60" t="s">
        <v>136</v>
      </c>
      <c r="AC27" s="60">
        <v>51</v>
      </c>
      <c r="AD27" s="27">
        <f t="shared" si="4"/>
        <v>1.377</v>
      </c>
      <c r="AE27" s="34">
        <f t="shared" si="5"/>
        <v>1377</v>
      </c>
      <c r="AF27" s="81"/>
      <c r="AG27" s="27">
        <v>344.56</v>
      </c>
      <c r="AH27" s="27">
        <f t="shared" si="6"/>
        <v>9303.1200000000008</v>
      </c>
      <c r="AJ27" s="52">
        <f t="shared" si="7"/>
        <v>27</v>
      </c>
      <c r="AK27" s="45" t="str">
        <f>U27</f>
        <v>Estudio 4</v>
      </c>
      <c r="AL27" s="45">
        <f t="shared" si="9"/>
        <v>4884.300000000002</v>
      </c>
      <c r="AM27" s="44">
        <f t="shared" si="10"/>
        <v>679.99500000000012</v>
      </c>
      <c r="AN27" s="53">
        <f t="shared" si="11"/>
        <v>0.46875000000000011</v>
      </c>
      <c r="AO27" s="45">
        <f t="shared" si="12"/>
        <v>570.02940000000024</v>
      </c>
      <c r="AP27" s="44">
        <f t="shared" si="13"/>
        <v>9303.1200000000008</v>
      </c>
      <c r="AQ27" s="44">
        <f t="shared" si="14"/>
        <v>16.320421367739975</v>
      </c>
    </row>
    <row r="28" spans="1:43" ht="15.75" thickBot="1">
      <c r="A28" s="17">
        <f>23+26+17</f>
        <v>66</v>
      </c>
      <c r="B28" s="18" t="s">
        <v>78</v>
      </c>
      <c r="C28" s="17"/>
      <c r="D28" s="17">
        <v>4.2</v>
      </c>
      <c r="E28" s="17">
        <v>15</v>
      </c>
      <c r="F28" s="20"/>
      <c r="G28" s="17"/>
      <c r="H28" s="17"/>
      <c r="I28" s="17"/>
      <c r="J28" s="17"/>
      <c r="K28" s="17"/>
      <c r="L28" s="17"/>
      <c r="M28" s="17"/>
      <c r="N28" s="17" t="s">
        <v>79</v>
      </c>
      <c r="O28" s="28">
        <v>100</v>
      </c>
      <c r="P28" s="26">
        <f t="shared" si="15"/>
        <v>66</v>
      </c>
      <c r="Q28" s="27">
        <f t="shared" si="0"/>
        <v>5.28</v>
      </c>
      <c r="R28" s="80">
        <f t="shared" si="1"/>
        <v>5.28</v>
      </c>
      <c r="S28" s="34">
        <f t="shared" si="2"/>
        <v>4.2240000000000002</v>
      </c>
      <c r="T28" s="29">
        <f t="shared" si="3"/>
        <v>66</v>
      </c>
      <c r="U28" s="60" t="s">
        <v>175</v>
      </c>
      <c r="V28" s="60" t="s">
        <v>140</v>
      </c>
      <c r="W28" s="60">
        <v>4.8</v>
      </c>
      <c r="X28" s="60">
        <v>51</v>
      </c>
      <c r="Y28" s="60"/>
      <c r="Z28" s="60"/>
      <c r="AA28" s="60" t="s">
        <v>135</v>
      </c>
      <c r="AB28" s="60" t="s">
        <v>176</v>
      </c>
      <c r="AC28" s="60">
        <v>26</v>
      </c>
      <c r="AD28" s="27">
        <f t="shared" si="4"/>
        <v>1.716</v>
      </c>
      <c r="AE28" s="34">
        <f t="shared" si="5"/>
        <v>1716</v>
      </c>
      <c r="AF28" s="81"/>
      <c r="AG28" s="27">
        <v>451.3</v>
      </c>
      <c r="AH28" s="27">
        <f t="shared" si="6"/>
        <v>29785.8</v>
      </c>
      <c r="AJ28" s="52">
        <f t="shared" si="7"/>
        <v>66</v>
      </c>
      <c r="AK28" s="45" t="str">
        <f t="shared" si="8"/>
        <v>Estudio 22</v>
      </c>
      <c r="AL28" s="45">
        <f t="shared" si="9"/>
        <v>10082.16</v>
      </c>
      <c r="AM28" s="44">
        <f t="shared" si="10"/>
        <v>1300.8600000000001</v>
      </c>
      <c r="AN28" s="53">
        <f t="shared" si="11"/>
        <v>0.59375</v>
      </c>
      <c r="AO28" s="45">
        <f t="shared" si="12"/>
        <v>1164.3191999999999</v>
      </c>
      <c r="AP28" s="44">
        <f t="shared" si="13"/>
        <v>29785.8</v>
      </c>
      <c r="AQ28" s="44">
        <f t="shared" si="14"/>
        <v>25.582159943767998</v>
      </c>
    </row>
    <row r="29" spans="1:43" ht="15.75" thickBot="1">
      <c r="A29" s="17">
        <v>38</v>
      </c>
      <c r="B29" s="18" t="s">
        <v>78</v>
      </c>
      <c r="C29" s="17"/>
      <c r="D29" s="17">
        <v>5</v>
      </c>
      <c r="E29" s="17">
        <v>5</v>
      </c>
      <c r="F29" s="20"/>
      <c r="G29" s="17"/>
      <c r="H29" s="17"/>
      <c r="I29" s="17"/>
      <c r="J29" s="17"/>
      <c r="K29" s="17"/>
      <c r="L29" s="17"/>
      <c r="M29" s="17"/>
      <c r="N29" s="17" t="s">
        <v>79</v>
      </c>
      <c r="O29" s="28">
        <v>70</v>
      </c>
      <c r="P29" s="26">
        <f t="shared" si="15"/>
        <v>38</v>
      </c>
      <c r="Q29" s="27">
        <f t="shared" si="0"/>
        <v>2.1280000000000001</v>
      </c>
      <c r="R29" s="80">
        <f t="shared" si="1"/>
        <v>2.1280000000000001</v>
      </c>
      <c r="S29" s="34">
        <f t="shared" si="2"/>
        <v>1.7024000000000001</v>
      </c>
      <c r="T29" s="29">
        <f t="shared" si="3"/>
        <v>38</v>
      </c>
      <c r="U29" s="60" t="s">
        <v>175</v>
      </c>
      <c r="V29" s="60" t="s">
        <v>140</v>
      </c>
      <c r="W29" s="60">
        <v>4.8</v>
      </c>
      <c r="X29" s="60">
        <v>51</v>
      </c>
      <c r="Y29" s="60"/>
      <c r="Z29" s="60"/>
      <c r="AA29" s="60" t="s">
        <v>135</v>
      </c>
      <c r="AB29" s="60" t="s">
        <v>176</v>
      </c>
      <c r="AC29" s="60">
        <v>26</v>
      </c>
      <c r="AD29" s="27">
        <f t="shared" si="4"/>
        <v>0.98799999999999999</v>
      </c>
      <c r="AE29" s="34">
        <f t="shared" si="5"/>
        <v>988</v>
      </c>
      <c r="AF29" s="81"/>
      <c r="AG29" s="27">
        <v>451.3</v>
      </c>
      <c r="AH29" s="27">
        <f t="shared" si="6"/>
        <v>17149.400000000001</v>
      </c>
      <c r="AJ29" s="52">
        <f t="shared" si="7"/>
        <v>38</v>
      </c>
      <c r="AK29" s="45" t="str">
        <f t="shared" si="8"/>
        <v>Estudio 22</v>
      </c>
      <c r="AL29" s="45">
        <f t="shared" si="9"/>
        <v>2871.8880000000004</v>
      </c>
      <c r="AM29" s="44">
        <f t="shared" si="10"/>
        <v>416.1</v>
      </c>
      <c r="AN29" s="53">
        <f t="shared" si="11"/>
        <v>0.41964285714285721</v>
      </c>
      <c r="AO29" s="45">
        <f t="shared" si="12"/>
        <v>337.12080000000009</v>
      </c>
      <c r="AP29" s="44">
        <f t="shared" si="13"/>
        <v>17149.400000000001</v>
      </c>
      <c r="AQ29" s="44">
        <f t="shared" si="14"/>
        <v>50.870192524460066</v>
      </c>
    </row>
    <row r="30" spans="1:43" ht="15.75" thickBot="1">
      <c r="A30" s="17">
        <f>52+7+33+15+11+31</f>
        <v>149</v>
      </c>
      <c r="B30" s="18" t="s">
        <v>78</v>
      </c>
      <c r="C30" s="17"/>
      <c r="D30" s="17">
        <v>4</v>
      </c>
      <c r="E30" s="17">
        <v>15</v>
      </c>
      <c r="F30" s="20"/>
      <c r="G30" s="17"/>
      <c r="H30" s="17"/>
      <c r="I30" s="17"/>
      <c r="J30" s="17"/>
      <c r="K30" s="17"/>
      <c r="L30" s="17"/>
      <c r="M30" s="17"/>
      <c r="N30" s="17" t="s">
        <v>70</v>
      </c>
      <c r="O30" s="28">
        <v>100</v>
      </c>
      <c r="P30" s="26">
        <f t="shared" si="15"/>
        <v>149</v>
      </c>
      <c r="Q30" s="27">
        <f t="shared" si="0"/>
        <v>11.92</v>
      </c>
      <c r="R30" s="80">
        <f t="shared" si="1"/>
        <v>11.92</v>
      </c>
      <c r="S30" s="34">
        <f t="shared" si="2"/>
        <v>9.5359999999999996</v>
      </c>
      <c r="T30" s="29">
        <f t="shared" si="3"/>
        <v>149</v>
      </c>
      <c r="U30" s="60" t="s">
        <v>175</v>
      </c>
      <c r="V30" s="60" t="s">
        <v>140</v>
      </c>
      <c r="W30" s="60">
        <v>4.8</v>
      </c>
      <c r="X30" s="60">
        <v>51</v>
      </c>
      <c r="Y30" s="60"/>
      <c r="Z30" s="60"/>
      <c r="AA30" s="60" t="s">
        <v>135</v>
      </c>
      <c r="AB30" s="60" t="s">
        <v>176</v>
      </c>
      <c r="AC30" s="60">
        <v>26</v>
      </c>
      <c r="AD30" s="27">
        <f t="shared" si="4"/>
        <v>3.8740000000000001</v>
      </c>
      <c r="AE30" s="34">
        <f t="shared" si="5"/>
        <v>3874</v>
      </c>
      <c r="AF30" s="81"/>
      <c r="AG30" s="27">
        <v>451.3</v>
      </c>
      <c r="AH30" s="27">
        <f t="shared" si="6"/>
        <v>67243.7</v>
      </c>
      <c r="AJ30" s="52">
        <f t="shared" si="7"/>
        <v>149</v>
      </c>
      <c r="AK30" s="45" t="str">
        <f t="shared" si="8"/>
        <v>Estudio 22</v>
      </c>
      <c r="AL30" s="45">
        <f t="shared" si="9"/>
        <v>22761.239999999994</v>
      </c>
      <c r="AM30" s="44">
        <f t="shared" si="10"/>
        <v>2936.79</v>
      </c>
      <c r="AN30" s="53">
        <f t="shared" si="11"/>
        <v>0.59375</v>
      </c>
      <c r="AO30" s="45">
        <f t="shared" si="12"/>
        <v>2628.5387999999994</v>
      </c>
      <c r="AP30" s="44">
        <f t="shared" si="13"/>
        <v>67243.7</v>
      </c>
      <c r="AQ30" s="44">
        <f t="shared" si="14"/>
        <v>25.582159943768001</v>
      </c>
    </row>
    <row r="31" spans="1:43" ht="15.75" thickBot="1">
      <c r="A31" s="17">
        <v>5</v>
      </c>
      <c r="B31" s="18" t="s">
        <v>78</v>
      </c>
      <c r="C31" s="17"/>
      <c r="D31" s="17">
        <v>8.8000000000000007</v>
      </c>
      <c r="E31" s="17">
        <v>25</v>
      </c>
      <c r="F31" s="20"/>
      <c r="G31" s="17"/>
      <c r="H31" s="17"/>
      <c r="I31" s="17"/>
      <c r="J31" s="17"/>
      <c r="K31" s="17"/>
      <c r="L31" s="17"/>
      <c r="M31" s="17"/>
      <c r="N31" s="17" t="s">
        <v>70</v>
      </c>
      <c r="O31" s="28">
        <v>70</v>
      </c>
      <c r="P31" s="26">
        <f t="shared" si="15"/>
        <v>5</v>
      </c>
      <c r="Q31" s="27">
        <f t="shared" si="0"/>
        <v>0.28000000000000003</v>
      </c>
      <c r="R31" s="80">
        <f t="shared" si="1"/>
        <v>0.28000000000000003</v>
      </c>
      <c r="S31" s="34">
        <f t="shared" si="2"/>
        <v>0.22400000000000003</v>
      </c>
      <c r="T31" s="29">
        <f t="shared" si="3"/>
        <v>5</v>
      </c>
      <c r="U31" s="84" t="s">
        <v>177</v>
      </c>
      <c r="V31" s="60" t="s">
        <v>140</v>
      </c>
      <c r="W31" s="60">
        <v>9.4</v>
      </c>
      <c r="X31" s="60">
        <v>64</v>
      </c>
      <c r="Y31" s="60"/>
      <c r="Z31" s="60"/>
      <c r="AA31" s="60" t="s">
        <v>135</v>
      </c>
      <c r="AB31" s="60" t="s">
        <v>178</v>
      </c>
      <c r="AC31" s="60">
        <v>51</v>
      </c>
      <c r="AD31" s="27">
        <f t="shared" si="4"/>
        <v>0.255</v>
      </c>
      <c r="AE31" s="34">
        <f t="shared" si="5"/>
        <v>255</v>
      </c>
      <c r="AF31" s="81"/>
      <c r="AG31" s="27">
        <v>356.6</v>
      </c>
      <c r="AH31" s="27">
        <f t="shared" si="6"/>
        <v>1783</v>
      </c>
      <c r="AJ31" s="52">
        <f t="shared" si="7"/>
        <v>5</v>
      </c>
      <c r="AK31" s="45" t="str">
        <f t="shared" si="8"/>
        <v>Estudio 23</v>
      </c>
      <c r="AL31" s="45">
        <f t="shared" si="9"/>
        <v>-124.61999999999989</v>
      </c>
      <c r="AM31" s="44">
        <f t="shared" si="10"/>
        <v>9.1250000000000089</v>
      </c>
      <c r="AN31" s="53">
        <f t="shared" si="11"/>
        <v>-0.13839285714285698</v>
      </c>
      <c r="AO31" s="45">
        <f t="shared" si="12"/>
        <v>-11.366999999999988</v>
      </c>
      <c r="AP31" s="44">
        <f t="shared" si="13"/>
        <v>1783</v>
      </c>
      <c r="AQ31" s="44">
        <f t="shared" si="14"/>
        <v>-156.85757015923303</v>
      </c>
    </row>
    <row r="32" spans="1:43" ht="15.75" thickBot="1">
      <c r="A32" s="17">
        <f>12</f>
        <v>12</v>
      </c>
      <c r="B32" s="18" t="s">
        <v>78</v>
      </c>
      <c r="C32" s="17"/>
      <c r="D32" s="17">
        <v>4.4000000000000004</v>
      </c>
      <c r="E32" s="17">
        <v>11</v>
      </c>
      <c r="F32" s="20"/>
      <c r="G32" s="17"/>
      <c r="H32" s="17"/>
      <c r="I32" s="17"/>
      <c r="J32" s="17"/>
      <c r="K32" s="17"/>
      <c r="L32" s="17"/>
      <c r="M32" s="17"/>
      <c r="N32" s="17" t="s">
        <v>80</v>
      </c>
      <c r="O32" s="28">
        <v>125</v>
      </c>
      <c r="P32" s="26">
        <f t="shared" si="15"/>
        <v>12</v>
      </c>
      <c r="Q32" s="27">
        <f t="shared" si="0"/>
        <v>1.2</v>
      </c>
      <c r="R32" s="80">
        <f t="shared" si="1"/>
        <v>1.2</v>
      </c>
      <c r="S32" s="34">
        <f t="shared" si="2"/>
        <v>0.96</v>
      </c>
      <c r="T32" s="29">
        <f t="shared" si="3"/>
        <v>12</v>
      </c>
      <c r="U32" s="60" t="s">
        <v>175</v>
      </c>
      <c r="V32" s="60" t="s">
        <v>140</v>
      </c>
      <c r="W32" s="60">
        <v>4.8</v>
      </c>
      <c r="X32" s="60">
        <v>51</v>
      </c>
      <c r="Y32" s="60"/>
      <c r="Z32" s="60"/>
      <c r="AA32" s="60" t="s">
        <v>135</v>
      </c>
      <c r="AB32" s="60" t="s">
        <v>176</v>
      </c>
      <c r="AC32" s="60">
        <v>26</v>
      </c>
      <c r="AD32" s="27">
        <f t="shared" si="4"/>
        <v>0.312</v>
      </c>
      <c r="AE32" s="34">
        <f t="shared" si="5"/>
        <v>312</v>
      </c>
      <c r="AF32" s="81"/>
      <c r="AG32" s="27">
        <v>451.3</v>
      </c>
      <c r="AH32" s="27">
        <f t="shared" si="6"/>
        <v>5415.6</v>
      </c>
      <c r="AJ32" s="52">
        <f t="shared" si="7"/>
        <v>12</v>
      </c>
      <c r="AK32" s="45" t="str">
        <f t="shared" si="8"/>
        <v>Estudio 22</v>
      </c>
      <c r="AL32" s="45">
        <f t="shared" si="9"/>
        <v>2604.9599999999996</v>
      </c>
      <c r="AM32" s="44">
        <f t="shared" si="10"/>
        <v>324.11999999999995</v>
      </c>
      <c r="AN32" s="53">
        <f t="shared" si="11"/>
        <v>0.67500000000000004</v>
      </c>
      <c r="AO32" s="45">
        <f t="shared" si="12"/>
        <v>299.3904</v>
      </c>
      <c r="AP32" s="44">
        <f t="shared" si="13"/>
        <v>5415.6</v>
      </c>
      <c r="AQ32" s="44">
        <f t="shared" si="14"/>
        <v>18.088756352909112</v>
      </c>
    </row>
    <row r="33" spans="1:45" ht="15.75" thickBot="1">
      <c r="A33" s="17">
        <v>21</v>
      </c>
      <c r="B33" s="18" t="s">
        <v>78</v>
      </c>
      <c r="C33" s="17"/>
      <c r="D33" s="17">
        <v>2.9</v>
      </c>
      <c r="E33" s="17">
        <v>10</v>
      </c>
      <c r="F33" s="20"/>
      <c r="G33" s="17"/>
      <c r="H33" s="17"/>
      <c r="I33" s="17"/>
      <c r="J33" s="17"/>
      <c r="K33" s="17"/>
      <c r="L33" s="17"/>
      <c r="M33" s="17"/>
      <c r="N33" s="17" t="s">
        <v>81</v>
      </c>
      <c r="O33" s="28">
        <v>100</v>
      </c>
      <c r="P33" s="26">
        <f t="shared" si="15"/>
        <v>21</v>
      </c>
      <c r="Q33" s="27">
        <f t="shared" si="0"/>
        <v>1.68</v>
      </c>
      <c r="R33" s="80">
        <f t="shared" si="1"/>
        <v>1.68</v>
      </c>
      <c r="S33" s="34">
        <f t="shared" si="2"/>
        <v>1.3440000000000001</v>
      </c>
      <c r="T33" s="29">
        <f t="shared" si="3"/>
        <v>21</v>
      </c>
      <c r="U33" s="84" t="s">
        <v>179</v>
      </c>
      <c r="V33" s="60" t="s">
        <v>140</v>
      </c>
      <c r="W33" s="60">
        <v>8.4</v>
      </c>
      <c r="X33" s="60">
        <v>37</v>
      </c>
      <c r="Y33" s="60"/>
      <c r="Z33" s="60"/>
      <c r="AA33" s="60" t="s">
        <v>135</v>
      </c>
      <c r="AB33" s="60" t="s">
        <v>180</v>
      </c>
      <c r="AC33" s="60">
        <v>20</v>
      </c>
      <c r="AD33" s="27">
        <f t="shared" si="4"/>
        <v>0.42</v>
      </c>
      <c r="AE33" s="34">
        <f t="shared" si="5"/>
        <v>420</v>
      </c>
      <c r="AF33" s="81"/>
      <c r="AG33" s="27">
        <v>451.3</v>
      </c>
      <c r="AH33" s="27">
        <f t="shared" si="6"/>
        <v>9477.3000000000011</v>
      </c>
      <c r="AJ33" s="52">
        <f t="shared" si="7"/>
        <v>21</v>
      </c>
      <c r="AK33" s="45" t="str">
        <f t="shared" si="8"/>
        <v>Estudio 21</v>
      </c>
      <c r="AL33" s="45">
        <f t="shared" si="9"/>
        <v>3714.4800000000005</v>
      </c>
      <c r="AM33" s="44">
        <f t="shared" si="10"/>
        <v>459.9</v>
      </c>
      <c r="AN33" s="53">
        <f t="shared" si="11"/>
        <v>0.6875</v>
      </c>
      <c r="AO33" s="45">
        <f t="shared" si="12"/>
        <v>426.63600000000008</v>
      </c>
      <c r="AP33" s="44">
        <f t="shared" si="13"/>
        <v>9477.3000000000011</v>
      </c>
      <c r="AQ33" s="44">
        <f t="shared" si="14"/>
        <v>22.214018507580231</v>
      </c>
    </row>
    <row r="34" spans="1:45" ht="15.75" thickBot="1">
      <c r="A34" s="17">
        <f>20+16+6+3+5+5+15</f>
        <v>70</v>
      </c>
      <c r="B34" s="18" t="s">
        <v>82</v>
      </c>
      <c r="C34" s="17"/>
      <c r="D34" s="17">
        <v>3.5</v>
      </c>
      <c r="E34" s="17">
        <v>15</v>
      </c>
      <c r="F34" s="20"/>
      <c r="G34" s="17"/>
      <c r="H34" s="17"/>
      <c r="I34" s="17"/>
      <c r="J34" s="17"/>
      <c r="K34" s="17"/>
      <c r="L34" s="17"/>
      <c r="M34" s="17"/>
      <c r="N34" s="17" t="s">
        <v>70</v>
      </c>
      <c r="O34" s="28">
        <v>100</v>
      </c>
      <c r="P34" s="26">
        <f t="shared" si="15"/>
        <v>70</v>
      </c>
      <c r="Q34" s="27">
        <f t="shared" si="0"/>
        <v>5.6</v>
      </c>
      <c r="R34" s="80">
        <f t="shared" si="1"/>
        <v>5.6</v>
      </c>
      <c r="S34" s="34">
        <f t="shared" si="2"/>
        <v>4.4799999999999995</v>
      </c>
      <c r="T34" s="29">
        <f t="shared" si="3"/>
        <v>70</v>
      </c>
      <c r="U34" s="84" t="s">
        <v>179</v>
      </c>
      <c r="V34" s="60" t="s">
        <v>140</v>
      </c>
      <c r="W34" s="60">
        <v>8.4</v>
      </c>
      <c r="X34" s="60">
        <v>37</v>
      </c>
      <c r="Y34" s="60"/>
      <c r="Z34" s="60"/>
      <c r="AA34" s="60" t="s">
        <v>135</v>
      </c>
      <c r="AB34" s="60" t="s">
        <v>180</v>
      </c>
      <c r="AC34" s="60">
        <v>20</v>
      </c>
      <c r="AD34" s="27">
        <f t="shared" si="4"/>
        <v>1.4</v>
      </c>
      <c r="AE34" s="34">
        <f t="shared" si="5"/>
        <v>1400</v>
      </c>
      <c r="AF34" s="81"/>
      <c r="AG34" s="27">
        <v>451.3</v>
      </c>
      <c r="AH34" s="27">
        <f t="shared" si="6"/>
        <v>31591</v>
      </c>
      <c r="AJ34" s="52">
        <f t="shared" si="7"/>
        <v>70</v>
      </c>
      <c r="AK34" s="45" t="str">
        <f t="shared" si="8"/>
        <v>Estudio 21</v>
      </c>
      <c r="AL34" s="45">
        <f t="shared" si="9"/>
        <v>12381.599999999999</v>
      </c>
      <c r="AM34" s="44">
        <f t="shared" si="10"/>
        <v>1532.9999999999998</v>
      </c>
      <c r="AN34" s="53">
        <f t="shared" si="11"/>
        <v>0.6875</v>
      </c>
      <c r="AO34" s="45">
        <f t="shared" si="12"/>
        <v>1422.12</v>
      </c>
      <c r="AP34" s="44">
        <f t="shared" si="13"/>
        <v>31591</v>
      </c>
      <c r="AQ34" s="44">
        <f t="shared" si="14"/>
        <v>22.214018507580235</v>
      </c>
    </row>
    <row r="35" spans="1:45" ht="15.75" thickBot="1">
      <c r="A35" s="17">
        <v>4</v>
      </c>
      <c r="B35" s="18" t="s">
        <v>82</v>
      </c>
      <c r="C35" s="17"/>
      <c r="D35" s="17">
        <v>6.8</v>
      </c>
      <c r="E35" s="17">
        <v>10</v>
      </c>
      <c r="F35" s="20"/>
      <c r="G35" s="17"/>
      <c r="H35" s="17"/>
      <c r="I35" s="17"/>
      <c r="J35" s="17"/>
      <c r="K35" s="17"/>
      <c r="L35" s="17"/>
      <c r="M35" s="17"/>
      <c r="N35" s="17" t="s">
        <v>70</v>
      </c>
      <c r="O35" s="28">
        <v>70</v>
      </c>
      <c r="P35" s="26">
        <f t="shared" si="15"/>
        <v>4</v>
      </c>
      <c r="Q35" s="27">
        <f t="shared" si="0"/>
        <v>0.224</v>
      </c>
      <c r="R35" s="80">
        <f t="shared" si="1"/>
        <v>0.224</v>
      </c>
      <c r="S35" s="34">
        <f t="shared" si="2"/>
        <v>0.17920000000000003</v>
      </c>
      <c r="T35" s="29">
        <f t="shared" si="3"/>
        <v>4</v>
      </c>
      <c r="U35" s="84" t="s">
        <v>181</v>
      </c>
      <c r="V35" s="60" t="s">
        <v>140</v>
      </c>
      <c r="W35" s="60">
        <v>7.5</v>
      </c>
      <c r="X35" s="60">
        <v>45</v>
      </c>
      <c r="Y35" s="60"/>
      <c r="Z35" s="60"/>
      <c r="AA35" s="60" t="s">
        <v>135</v>
      </c>
      <c r="AB35" s="60" t="s">
        <v>182</v>
      </c>
      <c r="AC35" s="60">
        <v>26</v>
      </c>
      <c r="AD35" s="27">
        <f t="shared" si="4"/>
        <v>0.104</v>
      </c>
      <c r="AE35" s="34">
        <f t="shared" si="5"/>
        <v>104</v>
      </c>
      <c r="AF35" s="81"/>
      <c r="AG35" s="27">
        <v>319.39999999999998</v>
      </c>
      <c r="AH35" s="27">
        <f t="shared" si="6"/>
        <v>1277.5999999999999</v>
      </c>
      <c r="AJ35" s="52">
        <f t="shared" si="7"/>
        <v>4</v>
      </c>
      <c r="AK35" s="45" t="str">
        <f t="shared" si="8"/>
        <v>Estudio 24</v>
      </c>
      <c r="AL35" s="45">
        <f t="shared" si="9"/>
        <v>302.30400000000014</v>
      </c>
      <c r="AM35" s="44">
        <f t="shared" si="10"/>
        <v>43.800000000000004</v>
      </c>
      <c r="AN35" s="53">
        <f t="shared" si="11"/>
        <v>0.41964285714285721</v>
      </c>
      <c r="AO35" s="45">
        <f t="shared" si="12"/>
        <v>35.486400000000017</v>
      </c>
      <c r="AP35" s="44">
        <f t="shared" si="13"/>
        <v>1277.5999999999999</v>
      </c>
      <c r="AQ35" s="44">
        <f t="shared" si="14"/>
        <v>36.002524910951784</v>
      </c>
    </row>
    <row r="36" spans="1:45" ht="15.75" thickBot="1">
      <c r="A36" s="17">
        <v>12</v>
      </c>
      <c r="B36" s="18" t="s">
        <v>82</v>
      </c>
      <c r="C36" s="17"/>
      <c r="D36" s="17">
        <v>4</v>
      </c>
      <c r="E36" s="17">
        <v>17</v>
      </c>
      <c r="F36" s="20"/>
      <c r="G36" s="17"/>
      <c r="H36" s="17"/>
      <c r="I36" s="17"/>
      <c r="J36" s="17"/>
      <c r="K36" s="17"/>
      <c r="L36" s="17"/>
      <c r="M36" s="17"/>
      <c r="N36" s="17" t="s">
        <v>70</v>
      </c>
      <c r="O36" s="28">
        <v>150</v>
      </c>
      <c r="P36" s="26">
        <f t="shared" si="15"/>
        <v>12</v>
      </c>
      <c r="Q36" s="27">
        <f t="shared" si="0"/>
        <v>1.44</v>
      </c>
      <c r="R36" s="80">
        <f t="shared" si="1"/>
        <v>1.44</v>
      </c>
      <c r="S36" s="34">
        <f t="shared" si="2"/>
        <v>1.1519999999999999</v>
      </c>
      <c r="T36" s="29">
        <f t="shared" si="3"/>
        <v>12</v>
      </c>
      <c r="U36" s="60" t="s">
        <v>175</v>
      </c>
      <c r="V36" s="60" t="s">
        <v>140</v>
      </c>
      <c r="W36" s="60">
        <v>4.8</v>
      </c>
      <c r="X36" s="60">
        <v>51</v>
      </c>
      <c r="Y36" s="60"/>
      <c r="Z36" s="60"/>
      <c r="AA36" s="60" t="s">
        <v>135</v>
      </c>
      <c r="AB36" s="60" t="s">
        <v>176</v>
      </c>
      <c r="AC36" s="60">
        <v>26</v>
      </c>
      <c r="AD36" s="27">
        <f t="shared" si="4"/>
        <v>0.312</v>
      </c>
      <c r="AE36" s="34">
        <f t="shared" si="5"/>
        <v>312</v>
      </c>
      <c r="AF36" s="81"/>
      <c r="AG36" s="27">
        <v>451.3</v>
      </c>
      <c r="AH36" s="27">
        <f t="shared" si="6"/>
        <v>5415.6</v>
      </c>
      <c r="AJ36" s="52">
        <f t="shared" si="7"/>
        <v>12</v>
      </c>
      <c r="AK36" s="45" t="str">
        <f t="shared" si="8"/>
        <v>Estudio 22</v>
      </c>
      <c r="AL36" s="45">
        <f t="shared" si="9"/>
        <v>3376.7999999999993</v>
      </c>
      <c r="AM36" s="44">
        <f t="shared" si="10"/>
        <v>411.71999999999997</v>
      </c>
      <c r="AN36" s="53">
        <f t="shared" si="11"/>
        <v>0.72916666666666663</v>
      </c>
      <c r="AO36" s="45">
        <f t="shared" si="12"/>
        <v>387.08639999999997</v>
      </c>
      <c r="AP36" s="44">
        <f t="shared" si="13"/>
        <v>5415.6</v>
      </c>
      <c r="AQ36" s="44">
        <f t="shared" si="14"/>
        <v>13.990674950088664</v>
      </c>
    </row>
    <row r="37" spans="1:45" ht="15.75" thickBot="1">
      <c r="A37" s="17">
        <v>5</v>
      </c>
      <c r="B37" s="18" t="s">
        <v>82</v>
      </c>
      <c r="C37" s="17"/>
      <c r="D37" s="17">
        <v>2.4</v>
      </c>
      <c r="E37" s="17">
        <v>21</v>
      </c>
      <c r="F37" s="20"/>
      <c r="G37" s="17"/>
      <c r="H37" s="17"/>
      <c r="I37" s="17"/>
      <c r="J37" s="17"/>
      <c r="K37" s="17"/>
      <c r="L37" s="17"/>
      <c r="M37" s="17"/>
      <c r="N37" s="17" t="s">
        <v>81</v>
      </c>
      <c r="O37" s="28">
        <v>100</v>
      </c>
      <c r="P37" s="26">
        <f t="shared" si="15"/>
        <v>5</v>
      </c>
      <c r="Q37" s="27">
        <f t="shared" si="0"/>
        <v>0.4</v>
      </c>
      <c r="R37" s="80">
        <f t="shared" si="1"/>
        <v>0.4</v>
      </c>
      <c r="S37" s="34">
        <f t="shared" si="2"/>
        <v>0.32000000000000006</v>
      </c>
      <c r="T37" s="29">
        <f t="shared" si="3"/>
        <v>5</v>
      </c>
      <c r="U37" s="84" t="s">
        <v>179</v>
      </c>
      <c r="V37" s="60" t="s">
        <v>140</v>
      </c>
      <c r="W37" s="60">
        <v>8.4</v>
      </c>
      <c r="X37" s="60">
        <v>37</v>
      </c>
      <c r="Y37" s="60"/>
      <c r="Z37" s="60"/>
      <c r="AA37" s="60" t="s">
        <v>135</v>
      </c>
      <c r="AB37" s="60" t="s">
        <v>180</v>
      </c>
      <c r="AC37" s="60">
        <v>20</v>
      </c>
      <c r="AD37" s="27">
        <f t="shared" si="4"/>
        <v>0.1</v>
      </c>
      <c r="AE37" s="34">
        <f t="shared" si="5"/>
        <v>100</v>
      </c>
      <c r="AF37" s="81"/>
      <c r="AG37" s="27">
        <v>430.4</v>
      </c>
      <c r="AH37" s="27">
        <f t="shared" si="6"/>
        <v>2152</v>
      </c>
      <c r="AJ37" s="52">
        <f t="shared" si="7"/>
        <v>5</v>
      </c>
      <c r="AK37" s="45" t="str">
        <f t="shared" si="8"/>
        <v>Estudio 21</v>
      </c>
      <c r="AL37" s="45">
        <f t="shared" si="9"/>
        <v>884.4000000000002</v>
      </c>
      <c r="AM37" s="44">
        <f t="shared" si="10"/>
        <v>109.50000000000001</v>
      </c>
      <c r="AN37" s="53">
        <f t="shared" si="11"/>
        <v>0.6875</v>
      </c>
      <c r="AO37" s="45">
        <f t="shared" si="12"/>
        <v>101.58000000000003</v>
      </c>
      <c r="AP37" s="44">
        <f t="shared" si="13"/>
        <v>2152</v>
      </c>
      <c r="AQ37" s="44">
        <f t="shared" si="14"/>
        <v>21.185272691474694</v>
      </c>
    </row>
    <row r="38" spans="1:45" ht="15.75" thickBot="1">
      <c r="A38" s="17">
        <f>38+4</f>
        <v>42</v>
      </c>
      <c r="B38" s="18" t="s">
        <v>82</v>
      </c>
      <c r="C38" s="17"/>
      <c r="D38" s="17">
        <v>3.6</v>
      </c>
      <c r="E38" s="17">
        <v>14</v>
      </c>
      <c r="F38" s="20"/>
      <c r="G38" s="17"/>
      <c r="H38" s="17"/>
      <c r="I38" s="17"/>
      <c r="J38" s="17"/>
      <c r="K38" s="17"/>
      <c r="L38" s="17"/>
      <c r="M38" s="17"/>
      <c r="N38" s="17" t="s">
        <v>80</v>
      </c>
      <c r="O38" s="28">
        <v>125</v>
      </c>
      <c r="P38" s="26">
        <f t="shared" si="15"/>
        <v>42</v>
      </c>
      <c r="Q38" s="27">
        <f t="shared" si="0"/>
        <v>4.2</v>
      </c>
      <c r="R38" s="80">
        <f t="shared" si="1"/>
        <v>4.2</v>
      </c>
      <c r="S38" s="34">
        <f t="shared" si="2"/>
        <v>3.3600000000000003</v>
      </c>
      <c r="T38" s="29">
        <f t="shared" si="3"/>
        <v>42</v>
      </c>
      <c r="U38" s="84" t="s">
        <v>179</v>
      </c>
      <c r="V38" s="60" t="s">
        <v>140</v>
      </c>
      <c r="W38" s="60">
        <v>8.4</v>
      </c>
      <c r="X38" s="60">
        <v>37</v>
      </c>
      <c r="Y38" s="60"/>
      <c r="Z38" s="60"/>
      <c r="AA38" s="60" t="s">
        <v>135</v>
      </c>
      <c r="AB38" s="60" t="s">
        <v>180</v>
      </c>
      <c r="AC38" s="60">
        <v>20</v>
      </c>
      <c r="AD38" s="27">
        <f t="shared" si="4"/>
        <v>0.84</v>
      </c>
      <c r="AE38" s="34">
        <f t="shared" si="5"/>
        <v>840</v>
      </c>
      <c r="AF38" s="81"/>
      <c r="AG38" s="27">
        <v>430.4</v>
      </c>
      <c r="AH38" s="27">
        <f t="shared" si="6"/>
        <v>18076.8</v>
      </c>
      <c r="AJ38" s="52">
        <f t="shared" si="7"/>
        <v>42</v>
      </c>
      <c r="AK38" s="45" t="str">
        <f t="shared" si="8"/>
        <v>Estudio 21</v>
      </c>
      <c r="AL38" s="45">
        <f t="shared" si="9"/>
        <v>10130.400000000001</v>
      </c>
      <c r="AM38" s="44">
        <f t="shared" si="10"/>
        <v>1226.4000000000001</v>
      </c>
      <c r="AN38" s="53">
        <f t="shared" si="11"/>
        <v>0.75</v>
      </c>
      <c r="AO38" s="45">
        <f t="shared" si="12"/>
        <v>1160.2080000000001</v>
      </c>
      <c r="AP38" s="44">
        <f t="shared" si="13"/>
        <v>18076.8</v>
      </c>
      <c r="AQ38" s="44">
        <f t="shared" si="14"/>
        <v>15.580654503330436</v>
      </c>
    </row>
    <row r="39" spans="1:45" ht="15.75" thickBot="1">
      <c r="A39" s="70">
        <f>SUM(A5:A38)</f>
        <v>4371</v>
      </c>
      <c r="B39" s="70"/>
      <c r="C39" s="70"/>
      <c r="D39" s="70"/>
      <c r="E39" s="70"/>
      <c r="F39" s="85"/>
      <c r="G39" s="70"/>
      <c r="H39" s="70"/>
      <c r="I39" s="70"/>
      <c r="J39" s="86"/>
      <c r="K39" s="70"/>
      <c r="L39" s="70"/>
      <c r="M39" s="70"/>
      <c r="N39" s="32"/>
      <c r="O39" s="32">
        <f>SUM(Q5:Q38)*1000</f>
        <v>523744</v>
      </c>
      <c r="P39" s="33">
        <f>SUM(P5:P38)</f>
        <v>4371</v>
      </c>
      <c r="Q39" s="42">
        <f>SUM(Q5:Q38)</f>
        <v>523.74400000000003</v>
      </c>
      <c r="R39" s="80">
        <f>SUM(R5:R38)</f>
        <v>523.74400000000003</v>
      </c>
      <c r="S39" s="34">
        <f>SUM(S5:S38)</f>
        <v>418.99519999999995</v>
      </c>
      <c r="T39" s="61">
        <f>SUM(T5:T15)</f>
        <v>2608</v>
      </c>
      <c r="U39" s="61"/>
      <c r="V39" s="61"/>
      <c r="W39" s="61"/>
      <c r="X39" s="61"/>
      <c r="Y39" s="61"/>
      <c r="Z39" s="61"/>
      <c r="AA39" s="61"/>
      <c r="AB39" s="61">
        <f>SUM(AB5:AB15)</f>
        <v>0</v>
      </c>
      <c r="AC39" s="61">
        <f>SUM(AC5:AC15)</f>
        <v>362</v>
      </c>
      <c r="AD39" s="42">
        <f>SUM(AD5:AD38)</f>
        <v>156.53400000000005</v>
      </c>
      <c r="AE39" s="34">
        <f>SUM(AE5:AE38)</f>
        <v>156534</v>
      </c>
      <c r="AF39" s="81">
        <f>SUM(AF5:AF15)</f>
        <v>0</v>
      </c>
      <c r="AG39" s="42"/>
      <c r="AH39" s="42">
        <f>SUM(AH5:AH38)</f>
        <v>1511614.36</v>
      </c>
      <c r="AJ39" s="54">
        <f>SUM(AJ5:AJ38)</f>
        <v>4371</v>
      </c>
      <c r="AK39" s="55" t="s">
        <v>98</v>
      </c>
      <c r="AL39" s="71">
        <f>SUM(AL5:AL38)</f>
        <v>1055094.0240000002</v>
      </c>
      <c r="AM39" s="71">
        <f>SUM(AM5:AM38)</f>
        <v>134031.65</v>
      </c>
      <c r="AN39" s="72">
        <f>AVERAGE(AN5:AN38)</f>
        <v>0.56897321428571435</v>
      </c>
      <c r="AO39" s="56">
        <f>SUM(AO5:AO38)</f>
        <v>121593.20040000002</v>
      </c>
      <c r="AP39" s="56">
        <f>SUM(AP5:AP38)</f>
        <v>1511614.36</v>
      </c>
      <c r="AQ39" s="57">
        <f t="shared" si="14"/>
        <v>12.431734299511044</v>
      </c>
    </row>
    <row r="40" spans="1:45" ht="15.75" thickBo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70" t="s">
        <v>7</v>
      </c>
      <c r="N40" s="74">
        <f>AL46</f>
        <v>0.1</v>
      </c>
      <c r="O40" s="87"/>
      <c r="P40" s="88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70" t="s">
        <v>7</v>
      </c>
      <c r="AC40" s="74">
        <f>AL46</f>
        <v>0.1</v>
      </c>
      <c r="AD40" s="89"/>
      <c r="AE40" s="24"/>
      <c r="AF40" s="24"/>
    </row>
    <row r="41" spans="1:45" ht="15.75" thickBo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70" t="s">
        <v>10</v>
      </c>
      <c r="N41" s="34">
        <v>4020</v>
      </c>
      <c r="O41" s="87"/>
      <c r="P41" s="88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70" t="s">
        <v>10</v>
      </c>
      <c r="AC41" s="34">
        <v>4020</v>
      </c>
      <c r="AD41" s="89"/>
      <c r="AE41" s="24"/>
      <c r="AF41" s="24"/>
    </row>
    <row r="42" spans="1:45" ht="15.75" thickBo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70" t="s">
        <v>12</v>
      </c>
      <c r="N42" s="34">
        <v>0.8</v>
      </c>
      <c r="O42" s="87"/>
      <c r="P42" s="8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70" t="s">
        <v>12</v>
      </c>
      <c r="AC42" s="34"/>
      <c r="AD42" s="89"/>
      <c r="AE42" s="24"/>
      <c r="AF42" s="24"/>
    </row>
    <row r="43" spans="1:45" ht="23.25" thickBo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70" t="s">
        <v>11</v>
      </c>
      <c r="N43" s="34">
        <v>0</v>
      </c>
      <c r="O43" s="87" t="s">
        <v>189</v>
      </c>
      <c r="P43" s="8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70" t="s">
        <v>11</v>
      </c>
      <c r="AC43" s="34"/>
      <c r="AD43" s="89"/>
      <c r="AE43" s="24"/>
      <c r="AF43" s="24"/>
      <c r="AK43" s="126" t="s">
        <v>106</v>
      </c>
      <c r="AL43" s="128">
        <f>O44-AC44</f>
        <v>105509.40239999999</v>
      </c>
      <c r="AM43" s="77"/>
    </row>
    <row r="44" spans="1:45" ht="22.5" customHeight="1" thickBo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70" t="s">
        <v>186</v>
      </c>
      <c r="N44" s="46">
        <f>N40*(O39*N41)/1000</f>
        <v>210545.08799999999</v>
      </c>
      <c r="O44" s="87">
        <f>N44*N42</f>
        <v>168436.0704</v>
      </c>
      <c r="P44" s="88"/>
      <c r="Q44" s="24">
        <f>S39*N41</f>
        <v>1684360.7039999999</v>
      </c>
      <c r="R44" s="95">
        <f>Q44*N40</f>
        <v>168436.0704</v>
      </c>
      <c r="S44" s="24"/>
      <c r="T44" s="24"/>
      <c r="U44" s="24"/>
      <c r="V44" s="24"/>
      <c r="W44" s="24"/>
      <c r="X44" s="24"/>
      <c r="Y44" s="24"/>
      <c r="Z44" s="24"/>
      <c r="AA44" s="24"/>
      <c r="AB44" s="70" t="s">
        <v>8</v>
      </c>
      <c r="AC44" s="46">
        <f>AC40*(AE39*AC41+AE39*AC42*AC43)/1000</f>
        <v>62926.667999999998</v>
      </c>
      <c r="AD44" s="89"/>
      <c r="AE44" s="24">
        <f>AD39*AC41</f>
        <v>629266.68000000017</v>
      </c>
      <c r="AF44" s="24"/>
      <c r="AK44" s="126"/>
      <c r="AL44" s="128"/>
      <c r="AM44" s="77"/>
    </row>
    <row r="45" spans="1:45" ht="31.5" customHeight="1" thickBo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70" t="s">
        <v>187</v>
      </c>
      <c r="N45" s="73">
        <f>Q39*365*AL47</f>
        <v>22939.9872</v>
      </c>
      <c r="O45" s="87"/>
      <c r="P45" s="88"/>
      <c r="Q45" s="24">
        <f>R39*365</f>
        <v>191166.56</v>
      </c>
      <c r="R45" s="24">
        <f>Q45*AL47</f>
        <v>22939.9872</v>
      </c>
      <c r="S45" s="24"/>
      <c r="T45" s="24"/>
      <c r="U45" s="24"/>
      <c r="V45" s="24"/>
      <c r="W45" s="24"/>
      <c r="X45" s="24"/>
      <c r="Y45" s="24"/>
      <c r="Z45" s="24"/>
      <c r="AA45" s="24"/>
      <c r="AB45" s="70" t="s">
        <v>187</v>
      </c>
      <c r="AC45" s="73">
        <f>AD39*365*AL47</f>
        <v>6856.1892000000016</v>
      </c>
      <c r="AD45" s="89"/>
      <c r="AE45" s="24"/>
      <c r="AF45" s="24"/>
      <c r="AK45" s="76" t="s">
        <v>185</v>
      </c>
      <c r="AL45" s="77">
        <f>N45-AC45</f>
        <v>16083.797999999999</v>
      </c>
      <c r="AM45" s="77"/>
    </row>
    <row r="46" spans="1:4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87"/>
      <c r="P46" s="88"/>
      <c r="Q46" s="24"/>
      <c r="R46" s="95">
        <f>SUM(R44:R45)</f>
        <v>191376.0576</v>
      </c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K46" s="35" t="s">
        <v>188</v>
      </c>
      <c r="AL46" s="77">
        <v>0.1</v>
      </c>
    </row>
    <row r="47" spans="1:45" ht="23.25" thickBo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70" t="s">
        <v>190</v>
      </c>
      <c r="N47" s="24"/>
      <c r="O47" s="87"/>
      <c r="P47" s="88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K47" s="35" t="s">
        <v>184</v>
      </c>
      <c r="AL47" s="35">
        <v>0.12</v>
      </c>
    </row>
    <row r="48" spans="1:45" ht="15.75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95">
        <f>N44+N45</f>
        <v>233485.07519999999</v>
      </c>
      <c r="O48" s="87"/>
      <c r="P48" s="88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R48" s="47" t="s">
        <v>107</v>
      </c>
      <c r="AS48" s="48">
        <f>AP39</f>
        <v>1511614.36</v>
      </c>
    </row>
    <row r="49" spans="1:51" ht="15.75" thickBo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87"/>
      <c r="P49" s="88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R49" s="47" t="s">
        <v>110</v>
      </c>
      <c r="AS49" s="49">
        <v>4020</v>
      </c>
    </row>
    <row r="50" spans="1:51" ht="15.75" thickBot="1">
      <c r="AR50" s="47" t="s">
        <v>108</v>
      </c>
      <c r="AS50" s="49">
        <v>100000</v>
      </c>
    </row>
    <row r="51" spans="1:51" ht="15.75" thickBot="1">
      <c r="B51" s="24" t="s">
        <v>72</v>
      </c>
      <c r="N51" s="35" t="s">
        <v>71</v>
      </c>
      <c r="O51" s="24">
        <v>150</v>
      </c>
      <c r="P51" s="35">
        <f>6</f>
        <v>6</v>
      </c>
      <c r="AK51" s="127" t="s">
        <v>213</v>
      </c>
      <c r="AL51" s="128">
        <f>AC44</f>
        <v>62926.667999999998</v>
      </c>
      <c r="AR51" s="47" t="s">
        <v>109</v>
      </c>
      <c r="AS51" s="49">
        <f>AS50/AS49</f>
        <v>24.875621890547265</v>
      </c>
    </row>
    <row r="52" spans="1:51" ht="15.75" thickBot="1">
      <c r="A52" s="35">
        <f>SUM(A28:A38)</f>
        <v>424</v>
      </c>
      <c r="B52" s="24" t="s">
        <v>72</v>
      </c>
      <c r="N52" s="35" t="s">
        <v>71</v>
      </c>
      <c r="O52" s="24">
        <v>100</v>
      </c>
      <c r="P52" s="35">
        <f>6</f>
        <v>6</v>
      </c>
      <c r="AK52" s="127"/>
      <c r="AL52" s="128"/>
      <c r="AR52" s="47" t="s">
        <v>111</v>
      </c>
      <c r="AS52" s="50"/>
    </row>
    <row r="53" spans="1:51" ht="26.25" thickBot="1">
      <c r="A53" s="35">
        <f>A39-A52</f>
        <v>3947</v>
      </c>
      <c r="AK53" s="114" t="s">
        <v>214</v>
      </c>
      <c r="AL53" s="96">
        <f>AC45</f>
        <v>6856.1892000000016</v>
      </c>
      <c r="AR53" s="47" t="s">
        <v>112</v>
      </c>
      <c r="AS53" s="50"/>
    </row>
    <row r="54" spans="1:51" ht="15.75" thickBot="1">
      <c r="AL54" s="91">
        <f>SUM(AL51:AL53)+AL78</f>
        <v>81965.962598940008</v>
      </c>
      <c r="AR54" s="47" t="s">
        <v>113</v>
      </c>
      <c r="AS54" s="50"/>
    </row>
    <row r="55" spans="1:51" ht="15.75" thickBot="1">
      <c r="AR55" s="47" t="s">
        <v>114</v>
      </c>
      <c r="AS55" s="51">
        <f>AW99</f>
        <v>6.295855074057255E-2</v>
      </c>
    </row>
    <row r="56" spans="1:51" ht="15.75" thickBot="1">
      <c r="AR56" s="47" t="s">
        <v>116</v>
      </c>
      <c r="AS56" s="50">
        <f>AW98</f>
        <v>1140788.892704892</v>
      </c>
    </row>
    <row r="57" spans="1:51" ht="15" customHeight="1">
      <c r="A57" s="35" t="s">
        <v>52</v>
      </c>
      <c r="AK57" s="127" t="s">
        <v>220</v>
      </c>
      <c r="AL57" s="129">
        <f>AL71</f>
        <v>333411.67768595042</v>
      </c>
      <c r="AM57" s="91"/>
    </row>
    <row r="58" spans="1:51">
      <c r="AK58" s="127"/>
      <c r="AL58" s="130"/>
      <c r="AM58" s="91"/>
    </row>
    <row r="59" spans="1:51" ht="15.75" thickBot="1">
      <c r="AK59" s="127"/>
      <c r="AL59" s="130"/>
      <c r="AM59" s="91"/>
    </row>
    <row r="60" spans="1:51" ht="15.75" thickBot="1">
      <c r="AR60" s="47" t="s">
        <v>107</v>
      </c>
      <c r="AS60" s="48">
        <f>AS48</f>
        <v>1511614.36</v>
      </c>
    </row>
    <row r="61" spans="1:51" ht="15.75" thickBot="1">
      <c r="AR61" s="47" t="s">
        <v>239</v>
      </c>
      <c r="AS61" s="75">
        <f t="shared" ref="AS61:AS68" si="16">AS49</f>
        <v>4020</v>
      </c>
      <c r="AV61" s="35" t="s">
        <v>126</v>
      </c>
      <c r="AW61" s="35" t="s">
        <v>123</v>
      </c>
      <c r="AX61" s="35" t="s">
        <v>124</v>
      </c>
      <c r="AY61" s="35" t="s">
        <v>125</v>
      </c>
    </row>
    <row r="62" spans="1:51" ht="15.75" thickBot="1">
      <c r="AI62" s="126" t="s">
        <v>228</v>
      </c>
      <c r="AJ62" s="126"/>
      <c r="AK62" s="126"/>
      <c r="AL62" s="93">
        <v>429691.13</v>
      </c>
      <c r="AM62" s="117">
        <v>3146047</v>
      </c>
      <c r="AR62" s="47" t="s">
        <v>108</v>
      </c>
      <c r="AS62" s="75">
        <f t="shared" si="16"/>
        <v>100000</v>
      </c>
      <c r="AV62" s="35" t="s">
        <v>130</v>
      </c>
      <c r="AW62" s="35">
        <f>-AW95</f>
        <v>-1511614.36</v>
      </c>
      <c r="AY62" s="35">
        <f>-AW95</f>
        <v>-1511614.36</v>
      </c>
    </row>
    <row r="63" spans="1:51" ht="15.75" thickBot="1">
      <c r="AI63" s="126" t="s">
        <v>229</v>
      </c>
      <c r="AJ63" s="126"/>
      <c r="AK63" s="126"/>
      <c r="AL63" s="115">
        <v>61785.56</v>
      </c>
      <c r="AM63" s="43"/>
      <c r="AR63" s="47" t="s">
        <v>109</v>
      </c>
      <c r="AS63" s="75">
        <f t="shared" si="16"/>
        <v>24.875621890547265</v>
      </c>
      <c r="AV63" s="35">
        <v>1</v>
      </c>
      <c r="AW63" s="91">
        <f>$AL$43+$AL$45</f>
        <v>121593.20039999999</v>
      </c>
      <c r="AY63" s="35">
        <f>AW63-AX63</f>
        <v>121593.20039999999</v>
      </c>
    </row>
    <row r="64" spans="1:51" ht="15.75" thickBot="1">
      <c r="AK64" s="35" t="s">
        <v>221</v>
      </c>
      <c r="AL64" s="116">
        <v>367906</v>
      </c>
      <c r="AR64" s="47" t="s">
        <v>215</v>
      </c>
      <c r="AS64" s="118">
        <f>AL57-AL81</f>
        <v>247255.04433356185</v>
      </c>
      <c r="AT64" s="93"/>
      <c r="AU64" s="93"/>
      <c r="AV64" s="35">
        <v>2</v>
      </c>
      <c r="AW64" s="91">
        <f t="shared" ref="AW64:AW88" si="17">$AL$43+$AL$45</f>
        <v>121593.20039999999</v>
      </c>
      <c r="AY64" s="35">
        <f t="shared" ref="AY64:AY88" si="18">AW64-AX64</f>
        <v>121593.20039999999</v>
      </c>
    </row>
    <row r="65" spans="36:51" ht="15.75" thickBot="1">
      <c r="AK65" s="35" t="s">
        <v>222</v>
      </c>
      <c r="AL65" s="116">
        <v>52526</v>
      </c>
      <c r="AM65" s="117">
        <v>384577</v>
      </c>
      <c r="AR65" s="47"/>
      <c r="AS65" s="48"/>
      <c r="AV65" s="35">
        <v>3</v>
      </c>
      <c r="AW65" s="91">
        <f t="shared" si="17"/>
        <v>121593.20039999999</v>
      </c>
      <c r="AY65" s="35">
        <f t="shared" si="18"/>
        <v>121593.20039999999</v>
      </c>
    </row>
    <row r="66" spans="36:51" ht="15.75" thickBot="1">
      <c r="AL66" s="91">
        <f>SUM(AL63:AL65)</f>
        <v>482217.56</v>
      </c>
      <c r="AR66" s="47" t="s">
        <v>113</v>
      </c>
      <c r="AS66" s="50">
        <f>AS60/(AS64)</f>
        <v>6.1135835027120491</v>
      </c>
      <c r="AV66" s="35">
        <v>4</v>
      </c>
      <c r="AW66" s="91">
        <f t="shared" si="17"/>
        <v>121593.20039999999</v>
      </c>
      <c r="AY66" s="35">
        <f t="shared" si="18"/>
        <v>121593.20039999999</v>
      </c>
    </row>
    <row r="67" spans="36:51" ht="15.75" thickBot="1">
      <c r="AR67" s="47" t="s">
        <v>114</v>
      </c>
      <c r="AS67" s="51">
        <f t="shared" si="16"/>
        <v>6.295855074057255E-2</v>
      </c>
      <c r="AV67" s="35">
        <v>5</v>
      </c>
      <c r="AW67" s="91">
        <f t="shared" si="17"/>
        <v>121593.20039999999</v>
      </c>
      <c r="AY67" s="35">
        <f t="shared" si="18"/>
        <v>121593.20039999999</v>
      </c>
    </row>
    <row r="68" spans="36:51" ht="15.75" thickBot="1">
      <c r="AL68" s="93">
        <f>AL62+AL66</f>
        <v>911908.69</v>
      </c>
      <c r="AR68" s="47" t="s">
        <v>116</v>
      </c>
      <c r="AS68" s="48">
        <f t="shared" si="16"/>
        <v>1140788.892704892</v>
      </c>
      <c r="AV68" s="35">
        <v>6</v>
      </c>
      <c r="AW68" s="91">
        <f t="shared" si="17"/>
        <v>121593.20039999999</v>
      </c>
      <c r="AY68" s="35">
        <f t="shared" si="18"/>
        <v>121593.20039999999</v>
      </c>
    </row>
    <row r="69" spans="36:51" ht="15.75" thickBot="1">
      <c r="AO69" s="93">
        <f>AL70*0.21</f>
        <v>84719.907299999992</v>
      </c>
      <c r="AP69" s="93">
        <f>AL70-AO69</f>
        <v>318708.22270000004</v>
      </c>
      <c r="AV69" s="35">
        <v>7</v>
      </c>
      <c r="AW69" s="91">
        <f t="shared" si="17"/>
        <v>121593.20039999999</v>
      </c>
      <c r="AY69" s="35">
        <f t="shared" si="18"/>
        <v>121593.20039999999</v>
      </c>
    </row>
    <row r="70" spans="36:51" ht="15.75" thickBot="1">
      <c r="AJ70" s="35" t="s">
        <v>234</v>
      </c>
      <c r="AK70" s="35" t="s">
        <v>235</v>
      </c>
      <c r="AL70" s="93">
        <f>AL62-(AL65*0.5)</f>
        <v>403428.13</v>
      </c>
      <c r="AM70" s="43">
        <f>AM62-(AM65*0.5)</f>
        <v>2953758.5</v>
      </c>
      <c r="AO70" s="93">
        <f>AL70*0.79</f>
        <v>318708.22270000004</v>
      </c>
      <c r="AP70" s="93">
        <f>AP69*1.21</f>
        <v>385636.94946700003</v>
      </c>
      <c r="AR70" s="47" t="s">
        <v>216</v>
      </c>
      <c r="AS70" s="119">
        <f>AM70</f>
        <v>2953758.5</v>
      </c>
      <c r="AV70" s="35">
        <v>8</v>
      </c>
      <c r="AW70" s="91">
        <f t="shared" si="17"/>
        <v>121593.20039999999</v>
      </c>
      <c r="AY70" s="35">
        <f t="shared" si="18"/>
        <v>121593.20039999999</v>
      </c>
    </row>
    <row r="71" spans="36:51" ht="15.75" thickBot="1">
      <c r="AJ71" s="35" t="s">
        <v>234</v>
      </c>
      <c r="AK71" s="35" t="s">
        <v>230</v>
      </c>
      <c r="AL71" s="93">
        <f>AL70/1.21</f>
        <v>333411.67768595042</v>
      </c>
      <c r="AO71" s="93">
        <f>AL70/1.21</f>
        <v>333411.67768595042</v>
      </c>
      <c r="AP71" s="93">
        <f>AO71*1.21</f>
        <v>403428.13</v>
      </c>
      <c r="AR71" s="47" t="s">
        <v>217</v>
      </c>
      <c r="AS71" s="118">
        <f>AL57</f>
        <v>333411.67768595042</v>
      </c>
      <c r="AV71" s="35">
        <v>9</v>
      </c>
      <c r="AW71" s="91">
        <f t="shared" si="17"/>
        <v>121593.20039999999</v>
      </c>
      <c r="AY71" s="35">
        <f t="shared" si="18"/>
        <v>121593.20039999999</v>
      </c>
    </row>
    <row r="72" spans="36:51" ht="15.75" thickBot="1">
      <c r="AJ72" s="35" t="s">
        <v>234</v>
      </c>
      <c r="AK72" s="35" t="s">
        <v>223</v>
      </c>
      <c r="AL72" s="93">
        <f>AL71*0.9489</f>
        <v>316374.34095619834</v>
      </c>
      <c r="AN72" s="35">
        <v>5.1100000000000003</v>
      </c>
      <c r="AP72" s="93"/>
      <c r="AR72" s="47" t="s">
        <v>218</v>
      </c>
      <c r="AS72" s="58">
        <f>R39</f>
        <v>523.74400000000003</v>
      </c>
      <c r="AV72" s="35">
        <v>10</v>
      </c>
      <c r="AW72" s="91">
        <f t="shared" si="17"/>
        <v>121593.20039999999</v>
      </c>
      <c r="AY72" s="35">
        <f t="shared" si="18"/>
        <v>121593.20039999999</v>
      </c>
    </row>
    <row r="73" spans="36:51" ht="15.75" thickBot="1">
      <c r="AN73" s="35">
        <f>100-AN72</f>
        <v>94.89</v>
      </c>
      <c r="AP73" s="93"/>
      <c r="AR73" s="47" t="s">
        <v>219</v>
      </c>
      <c r="AS73" s="58">
        <f>AD39</f>
        <v>156.53400000000005</v>
      </c>
      <c r="AV73" s="35">
        <v>11</v>
      </c>
      <c r="AW73" s="91">
        <f t="shared" si="17"/>
        <v>121593.20039999999</v>
      </c>
      <c r="AY73" s="35">
        <f t="shared" si="18"/>
        <v>121593.20039999999</v>
      </c>
    </row>
    <row r="74" spans="36:51" ht="15.75" thickBot="1">
      <c r="AV74" s="35">
        <v>12</v>
      </c>
      <c r="AW74" s="91">
        <f t="shared" si="17"/>
        <v>121593.20039999999</v>
      </c>
      <c r="AY74" s="35">
        <f t="shared" si="18"/>
        <v>121593.20039999999</v>
      </c>
    </row>
    <row r="75" spans="36:51" ht="15.75" thickBot="1">
      <c r="AK75" s="35" t="s">
        <v>226</v>
      </c>
      <c r="AL75" s="92">
        <f>AD39</f>
        <v>156.53400000000005</v>
      </c>
      <c r="AR75" s="47" t="s">
        <v>227</v>
      </c>
      <c r="AS75" s="119">
        <f>AE44</f>
        <v>629266.68000000017</v>
      </c>
      <c r="AV75" s="35">
        <v>13</v>
      </c>
      <c r="AW75" s="91">
        <f t="shared" si="17"/>
        <v>121593.20039999999</v>
      </c>
      <c r="AY75" s="35">
        <f t="shared" si="18"/>
        <v>121593.20039999999</v>
      </c>
    </row>
    <row r="76" spans="36:51" ht="15.75" thickBot="1">
      <c r="AJ76" s="35" t="s">
        <v>117</v>
      </c>
      <c r="AK76" s="35" t="s">
        <v>224</v>
      </c>
      <c r="AL76" s="35">
        <f>AL75*365*AN76</f>
        <v>5938.8310850400012</v>
      </c>
      <c r="AN76" s="35">
        <v>0.10394399999999999</v>
      </c>
      <c r="AR76" s="47" t="s">
        <v>240</v>
      </c>
      <c r="AS76" s="120">
        <f>AL81</f>
        <v>86156.633352388584</v>
      </c>
      <c r="AV76" s="35">
        <v>14</v>
      </c>
      <c r="AW76" s="91">
        <f t="shared" si="17"/>
        <v>121593.20039999999</v>
      </c>
      <c r="AY76" s="35">
        <f t="shared" si="18"/>
        <v>121593.20039999999</v>
      </c>
    </row>
    <row r="77" spans="36:51">
      <c r="AJ77" s="35" t="s">
        <v>117</v>
      </c>
      <c r="AK77" s="35" t="s">
        <v>225</v>
      </c>
      <c r="AL77" s="35">
        <f>AL75*365*AN77</f>
        <v>6244.2743139000022</v>
      </c>
      <c r="AN77" s="35">
        <v>0.10929</v>
      </c>
      <c r="AV77" s="35">
        <v>15</v>
      </c>
      <c r="AW77" s="91">
        <f t="shared" si="17"/>
        <v>121593.20039999999</v>
      </c>
      <c r="AY77" s="35">
        <f t="shared" si="18"/>
        <v>121593.20039999999</v>
      </c>
    </row>
    <row r="78" spans="36:51">
      <c r="AL78" s="35">
        <f>AL77+AL76</f>
        <v>12183.105398940002</v>
      </c>
      <c r="AV78" s="35">
        <v>16</v>
      </c>
      <c r="AW78" s="91">
        <f t="shared" si="17"/>
        <v>121593.20039999999</v>
      </c>
      <c r="AY78" s="35">
        <f t="shared" si="18"/>
        <v>121593.20039999999</v>
      </c>
    </row>
    <row r="79" spans="36:51">
      <c r="AJ79" s="35" t="s">
        <v>117</v>
      </c>
      <c r="AK79" s="35" t="s">
        <v>232</v>
      </c>
      <c r="AL79" s="91">
        <f>AL51+AL53+AL76+AL77</f>
        <v>81965.962598940008</v>
      </c>
      <c r="AW79" s="91"/>
    </row>
    <row r="80" spans="36:51">
      <c r="AJ80" s="35" t="s">
        <v>117</v>
      </c>
      <c r="AK80" s="35" t="s">
        <v>231</v>
      </c>
      <c r="AL80" s="122">
        <f>AL79*AN80</f>
        <v>4190.6707534485822</v>
      </c>
      <c r="AN80" s="121">
        <v>5.11269632E-2</v>
      </c>
      <c r="AS80" s="43">
        <f>AS70-AS75</f>
        <v>2324491.8199999998</v>
      </c>
      <c r="AV80" s="35">
        <v>17</v>
      </c>
      <c r="AW80" s="91">
        <f t="shared" si="17"/>
        <v>121593.20039999999</v>
      </c>
      <c r="AY80" s="35">
        <f t="shared" si="18"/>
        <v>121593.20039999999</v>
      </c>
    </row>
    <row r="81" spans="36:51">
      <c r="AJ81" s="35" t="s">
        <v>117</v>
      </c>
      <c r="AK81" s="35" t="s">
        <v>233</v>
      </c>
      <c r="AL81" s="123">
        <f>AL79+AL80</f>
        <v>86156.633352388584</v>
      </c>
      <c r="AV81" s="35">
        <v>18</v>
      </c>
      <c r="AW81" s="91">
        <f t="shared" si="17"/>
        <v>121593.20039999999</v>
      </c>
      <c r="AY81" s="35">
        <f t="shared" si="18"/>
        <v>121593.20039999999</v>
      </c>
    </row>
    <row r="82" spans="36:51">
      <c r="AV82" s="35">
        <v>19</v>
      </c>
      <c r="AW82" s="91">
        <f t="shared" si="17"/>
        <v>121593.20039999999</v>
      </c>
      <c r="AY82" s="35">
        <f t="shared" si="18"/>
        <v>121593.20039999999</v>
      </c>
    </row>
    <row r="83" spans="36:51">
      <c r="AV83" s="35">
        <v>20</v>
      </c>
      <c r="AW83" s="91">
        <f t="shared" si="17"/>
        <v>121593.20039999999</v>
      </c>
      <c r="AY83" s="35">
        <f t="shared" si="18"/>
        <v>121593.20039999999</v>
      </c>
    </row>
    <row r="84" spans="36:51">
      <c r="AV84" s="35">
        <v>21</v>
      </c>
      <c r="AW84" s="91">
        <f t="shared" si="17"/>
        <v>121593.20039999999</v>
      </c>
      <c r="AY84" s="35">
        <f t="shared" si="18"/>
        <v>121593.20039999999</v>
      </c>
    </row>
    <row r="85" spans="36:51">
      <c r="AV85" s="35">
        <v>22</v>
      </c>
      <c r="AW85" s="91">
        <f t="shared" si="17"/>
        <v>121593.20039999999</v>
      </c>
      <c r="AY85" s="35">
        <f t="shared" si="18"/>
        <v>121593.20039999999</v>
      </c>
    </row>
    <row r="86" spans="36:51">
      <c r="AV86" s="35">
        <v>23</v>
      </c>
      <c r="AW86" s="91">
        <f t="shared" si="17"/>
        <v>121593.20039999999</v>
      </c>
      <c r="AY86" s="35">
        <f t="shared" si="18"/>
        <v>121593.20039999999</v>
      </c>
    </row>
    <row r="87" spans="36:51">
      <c r="AV87" s="35">
        <v>24</v>
      </c>
      <c r="AW87" s="91">
        <f t="shared" si="17"/>
        <v>121593.20039999999</v>
      </c>
      <c r="AY87" s="35">
        <f t="shared" si="18"/>
        <v>121593.20039999999</v>
      </c>
    </row>
    <row r="88" spans="36:51">
      <c r="AV88" s="35">
        <v>25</v>
      </c>
      <c r="AW88" s="91">
        <f t="shared" si="17"/>
        <v>121593.20039999999</v>
      </c>
      <c r="AY88" s="35">
        <f t="shared" si="18"/>
        <v>121593.20039999999</v>
      </c>
    </row>
    <row r="93" spans="36:51">
      <c r="AV93" s="35" t="s">
        <v>127</v>
      </c>
    </row>
    <row r="94" spans="36:51">
      <c r="AV94" s="35" t="s">
        <v>128</v>
      </c>
      <c r="AW94" s="35">
        <v>0.1</v>
      </c>
    </row>
    <row r="95" spans="36:51">
      <c r="AV95" s="35" t="s">
        <v>129</v>
      </c>
      <c r="AW95" s="92">
        <f>AW96</f>
        <v>1511614.36</v>
      </c>
    </row>
    <row r="96" spans="36:51">
      <c r="AW96" s="92">
        <f>AP39</f>
        <v>1511614.36</v>
      </c>
    </row>
    <row r="98" spans="48:49">
      <c r="AV98" s="35" t="s">
        <v>115</v>
      </c>
      <c r="AW98" s="93">
        <f>NPV(AW94,AY62:AY88)+AW95</f>
        <v>1140788.892704892</v>
      </c>
    </row>
    <row r="99" spans="48:49">
      <c r="AV99" s="35" t="s">
        <v>131</v>
      </c>
      <c r="AW99" s="94">
        <f>IRR(AY62:AY88)</f>
        <v>6.295855074057255E-2</v>
      </c>
    </row>
    <row r="100" spans="48:49">
      <c r="AV100" s="35" t="s">
        <v>131</v>
      </c>
      <c r="AW100" s="94">
        <f>IRR(AW62:AW88)</f>
        <v>6.295855074057255E-2</v>
      </c>
    </row>
  </sheetData>
  <mergeCells count="11">
    <mergeCell ref="A3:S3"/>
    <mergeCell ref="T3:AF3"/>
    <mergeCell ref="A1:AF1"/>
    <mergeCell ref="AK43:AK44"/>
    <mergeCell ref="AL43:AL44"/>
    <mergeCell ref="AI62:AK62"/>
    <mergeCell ref="AI63:AK63"/>
    <mergeCell ref="AK51:AK52"/>
    <mergeCell ref="AL51:AL52"/>
    <mergeCell ref="AK57:AK59"/>
    <mergeCell ref="AL57:AL59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2"/>
  <sheetViews>
    <sheetView zoomScale="85" zoomScaleNormal="85" workbookViewId="0">
      <selection activeCell="G18" sqref="G18"/>
    </sheetView>
  </sheetViews>
  <sheetFormatPr baseColWidth="10" defaultRowHeight="15"/>
  <cols>
    <col min="1" max="1" width="8" style="35" customWidth="1"/>
    <col min="2" max="2" width="34.7109375" style="35" bestFit="1" customWidth="1"/>
    <col min="3" max="3" width="12.28515625" style="35" bestFit="1" customWidth="1"/>
    <col min="4" max="4" width="8" style="35" bestFit="1" customWidth="1"/>
    <col min="5" max="5" width="10.42578125" style="35" customWidth="1"/>
    <col min="6" max="6" width="7" style="35" customWidth="1"/>
    <col min="7" max="7" width="8.42578125" style="35" customWidth="1"/>
    <col min="8" max="8" width="8.28515625" style="35" customWidth="1"/>
    <col min="9" max="9" width="7.5703125" style="35" customWidth="1"/>
    <col min="10" max="10" width="9.28515625" style="35" customWidth="1"/>
    <col min="11" max="11" width="8.42578125" style="35" customWidth="1"/>
    <col min="12" max="12" width="7.28515625" style="35" customWidth="1"/>
    <col min="13" max="13" width="24.140625" style="35" hidden="1" customWidth="1"/>
    <col min="14" max="14" width="13.7109375" style="35" customWidth="1"/>
    <col min="15" max="15" width="10.140625" style="35" customWidth="1"/>
    <col min="16" max="16" width="11.42578125" style="35" hidden="1" customWidth="1"/>
    <col min="17" max="17" width="15" style="35" hidden="1" customWidth="1"/>
    <col min="18" max="18" width="11.42578125" style="35" customWidth="1"/>
    <col min="19" max="19" width="9.140625" style="35" customWidth="1"/>
    <col min="20" max="20" width="9" style="35" customWidth="1"/>
    <col min="21" max="21" width="10.5703125" style="59" customWidth="1"/>
    <col min="22" max="27" width="9" style="35" customWidth="1"/>
    <col min="28" max="28" width="31.5703125" style="35" customWidth="1"/>
    <col min="29" max="29" width="14.28515625" style="35" bestFit="1" customWidth="1"/>
    <col min="30" max="32" width="11.42578125" style="35"/>
    <col min="33" max="33" width="11.7109375" style="35" bestFit="1" customWidth="1"/>
    <col min="34" max="36" width="11.42578125" style="35"/>
    <col min="37" max="37" width="25.28515625" style="35" customWidth="1"/>
    <col min="38" max="38" width="14.140625" style="35" bestFit="1" customWidth="1"/>
    <col min="39" max="39" width="13.85546875" style="35" customWidth="1"/>
    <col min="40" max="40" width="11.42578125" style="35"/>
    <col min="41" max="41" width="13.85546875" style="35" bestFit="1" customWidth="1"/>
    <col min="42" max="42" width="14.7109375" style="35" bestFit="1" customWidth="1"/>
    <col min="43" max="43" width="11.42578125" style="35"/>
    <col min="44" max="44" width="44.5703125" style="35" customWidth="1"/>
    <col min="45" max="45" width="15.85546875" style="43" customWidth="1"/>
    <col min="46" max="48" width="11.42578125" style="35"/>
    <col min="49" max="49" width="15" style="35" customWidth="1"/>
    <col min="50" max="16384" width="11.42578125" style="35"/>
  </cols>
  <sheetData>
    <row r="1" spans="1:43" ht="23.25">
      <c r="A1" s="137" t="s">
        <v>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</row>
    <row r="2" spans="1:43" ht="15.75" thickBot="1"/>
    <row r="3" spans="1:43" ht="15.75" customHeight="1" thickBot="1">
      <c r="A3" s="131" t="s">
        <v>236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3"/>
      <c r="T3" s="134" t="s">
        <v>132</v>
      </c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6"/>
      <c r="AF3" s="124"/>
    </row>
    <row r="4" spans="1:43" ht="52.5" customHeight="1" thickBot="1">
      <c r="A4" s="30" t="s">
        <v>0</v>
      </c>
      <c r="B4" s="31" t="s">
        <v>13</v>
      </c>
      <c r="C4" s="31" t="s">
        <v>14</v>
      </c>
      <c r="D4" s="31" t="s">
        <v>15</v>
      </c>
      <c r="E4" s="31" t="s">
        <v>16</v>
      </c>
      <c r="F4" s="31" t="s">
        <v>46</v>
      </c>
      <c r="G4" s="31" t="s">
        <v>47</v>
      </c>
      <c r="H4" s="31" t="s">
        <v>48</v>
      </c>
      <c r="I4" s="31" t="s">
        <v>45</v>
      </c>
      <c r="J4" s="31" t="s">
        <v>49</v>
      </c>
      <c r="K4" s="31" t="s">
        <v>50</v>
      </c>
      <c r="L4" s="31" t="s">
        <v>51</v>
      </c>
      <c r="M4" s="31" t="s">
        <v>44</v>
      </c>
      <c r="N4" s="31" t="s">
        <v>1</v>
      </c>
      <c r="O4" s="31" t="s">
        <v>2</v>
      </c>
      <c r="P4" s="2" t="s">
        <v>69</v>
      </c>
      <c r="Q4" s="2" t="s">
        <v>3</v>
      </c>
      <c r="R4" s="1" t="s">
        <v>237</v>
      </c>
      <c r="S4" s="2" t="s">
        <v>6</v>
      </c>
      <c r="T4" s="1" t="s">
        <v>0</v>
      </c>
      <c r="U4" s="2" t="s">
        <v>62</v>
      </c>
      <c r="V4" s="2" t="s">
        <v>37</v>
      </c>
      <c r="W4" s="2" t="s">
        <v>38</v>
      </c>
      <c r="X4" s="2" t="s">
        <v>39</v>
      </c>
      <c r="Y4" s="2" t="s">
        <v>40</v>
      </c>
      <c r="Z4" s="2" t="s">
        <v>41</v>
      </c>
      <c r="AA4" s="2" t="s">
        <v>42</v>
      </c>
      <c r="AB4" s="2" t="s">
        <v>43</v>
      </c>
      <c r="AC4" s="31" t="s">
        <v>2</v>
      </c>
      <c r="AD4" s="2" t="s">
        <v>3</v>
      </c>
      <c r="AE4" s="1" t="s">
        <v>5</v>
      </c>
      <c r="AF4" s="2" t="s">
        <v>6</v>
      </c>
      <c r="AG4" s="21" t="s">
        <v>104</v>
      </c>
      <c r="AH4" s="21" t="s">
        <v>105</v>
      </c>
      <c r="AJ4" s="1" t="str">
        <f>T4</f>
        <v>Nº PL</v>
      </c>
      <c r="AK4" s="1" t="s">
        <v>117</v>
      </c>
      <c r="AL4" s="1" t="s">
        <v>118</v>
      </c>
      <c r="AM4" s="1" t="s">
        <v>183</v>
      </c>
      <c r="AN4" s="1" t="s">
        <v>119</v>
      </c>
      <c r="AO4" s="1" t="s">
        <v>120</v>
      </c>
      <c r="AP4" s="1" t="s">
        <v>121</v>
      </c>
      <c r="AQ4" s="1" t="s">
        <v>122</v>
      </c>
    </row>
    <row r="5" spans="1:43" ht="15.75" thickBot="1">
      <c r="A5" s="22">
        <v>31</v>
      </c>
      <c r="B5" s="22" t="s">
        <v>83</v>
      </c>
      <c r="C5" s="22" t="s">
        <v>64</v>
      </c>
      <c r="D5" s="22">
        <f>'[1]TABLA RESUMEN'!$I$185</f>
        <v>8</v>
      </c>
      <c r="E5" s="22">
        <v>48</v>
      </c>
      <c r="F5" s="23">
        <v>3.5</v>
      </c>
      <c r="G5" s="22">
        <v>1.8</v>
      </c>
      <c r="H5" s="22">
        <f>8.9-1.8*2</f>
        <v>5.3000000000000007</v>
      </c>
      <c r="I5" s="22"/>
      <c r="J5" s="22"/>
      <c r="K5" s="22">
        <v>1.8</v>
      </c>
      <c r="L5" s="22">
        <v>3.2</v>
      </c>
      <c r="M5" s="22"/>
      <c r="N5" s="22" t="str">
        <f>'[1]TABLA RESUMEN'!$W$185</f>
        <v>VS AP</v>
      </c>
      <c r="O5" s="25">
        <f>'[1]TABLA RESUMEN'!$X$185</f>
        <v>250</v>
      </c>
      <c r="P5" s="26">
        <f>12+19</f>
        <v>31</v>
      </c>
      <c r="Q5" s="27">
        <f t="shared" ref="Q5:Q22" si="0">($N$44*O5*P5)/1000</f>
        <v>6.2</v>
      </c>
      <c r="R5" s="80">
        <f>Q5</f>
        <v>6.2</v>
      </c>
      <c r="S5" s="34">
        <f t="shared" ref="S5:S22" si="1">R5*$N$44</f>
        <v>4.9600000000000009</v>
      </c>
      <c r="T5" s="29">
        <f>P5</f>
        <v>31</v>
      </c>
      <c r="U5" s="62" t="s">
        <v>133</v>
      </c>
      <c r="V5" s="60" t="s">
        <v>134</v>
      </c>
      <c r="W5" s="60">
        <v>12.5</v>
      </c>
      <c r="X5" s="60">
        <v>73</v>
      </c>
      <c r="Y5" s="60">
        <v>0.81</v>
      </c>
      <c r="Z5" s="60">
        <v>74</v>
      </c>
      <c r="AA5" s="60" t="s">
        <v>135</v>
      </c>
      <c r="AB5" s="60" t="s">
        <v>136</v>
      </c>
      <c r="AC5" s="60">
        <v>51</v>
      </c>
      <c r="AD5" s="27">
        <f>(T5*AC5)/1000</f>
        <v>1.581</v>
      </c>
      <c r="AE5" s="34">
        <f>T5*AC5</f>
        <v>1581</v>
      </c>
      <c r="AF5" s="81"/>
      <c r="AG5" s="27">
        <v>344.56</v>
      </c>
      <c r="AH5" s="27">
        <f>T5*AG5</f>
        <v>10681.36</v>
      </c>
      <c r="AJ5" s="52">
        <f>T5</f>
        <v>31</v>
      </c>
      <c r="AK5" s="45" t="str">
        <f>U5</f>
        <v>Estudio 5</v>
      </c>
      <c r="AL5" s="45">
        <f t="shared" ref="AL5:AL22" si="2">(S5-AD5)*$AC$43</f>
        <v>13583.580000000004</v>
      </c>
      <c r="AM5" s="44">
        <f>(R5-AD5)*365</f>
        <v>1685.9349999999999</v>
      </c>
      <c r="AN5" s="53">
        <f>100%-(AD5/S5)</f>
        <v>0.68125000000000013</v>
      </c>
      <c r="AO5" s="45">
        <f t="shared" ref="AO5:AO22" si="3">(AL5*$AL$48)+(AM5*$AL$49)</f>
        <v>1560.6702000000005</v>
      </c>
      <c r="AP5" s="44">
        <f>AH5</f>
        <v>10681.36</v>
      </c>
      <c r="AQ5" s="44">
        <f>AP5/AO5</f>
        <v>6.8440853166799736</v>
      </c>
    </row>
    <row r="6" spans="1:43" ht="15.75" thickBot="1">
      <c r="A6" s="17">
        <v>43</v>
      </c>
      <c r="B6" s="17" t="s">
        <v>84</v>
      </c>
      <c r="C6" s="17" t="s">
        <v>64</v>
      </c>
      <c r="D6" s="18">
        <v>8.8000000000000007</v>
      </c>
      <c r="E6" s="18">
        <v>56.2</v>
      </c>
      <c r="F6" s="19">
        <v>3.3</v>
      </c>
      <c r="G6" s="18"/>
      <c r="H6" s="18">
        <v>7.3</v>
      </c>
      <c r="I6" s="18"/>
      <c r="J6" s="18"/>
      <c r="K6" s="18"/>
      <c r="L6" s="18">
        <v>3.7</v>
      </c>
      <c r="M6" s="17"/>
      <c r="N6" s="17" t="str">
        <f>'[1]TABLA RESUMEN'!$W$357</f>
        <v>VS AP</v>
      </c>
      <c r="O6" s="28">
        <f>'[1]TABLA RESUMEN'!$X$357</f>
        <v>250</v>
      </c>
      <c r="P6" s="26">
        <f>7+36</f>
        <v>43</v>
      </c>
      <c r="Q6" s="27">
        <f t="shared" si="0"/>
        <v>8.6</v>
      </c>
      <c r="R6" s="80">
        <f t="shared" ref="R6:R40" si="4">Q6</f>
        <v>8.6</v>
      </c>
      <c r="S6" s="34">
        <f t="shared" si="1"/>
        <v>6.88</v>
      </c>
      <c r="T6" s="29">
        <f t="shared" ref="T6:T40" si="5">P6</f>
        <v>43</v>
      </c>
      <c r="U6" s="63" t="s">
        <v>137</v>
      </c>
      <c r="V6" s="60" t="s">
        <v>134</v>
      </c>
      <c r="W6" s="82">
        <v>12.1</v>
      </c>
      <c r="X6" s="60">
        <v>65</v>
      </c>
      <c r="Y6" s="60">
        <v>0.81</v>
      </c>
      <c r="Z6" s="60">
        <v>58</v>
      </c>
      <c r="AA6" s="60" t="s">
        <v>135</v>
      </c>
      <c r="AB6" s="60" t="s">
        <v>138</v>
      </c>
      <c r="AC6" s="60">
        <v>51</v>
      </c>
      <c r="AD6" s="27">
        <f t="shared" ref="AD6:AD40" si="6">(T6*AC6)/1000</f>
        <v>2.1930000000000001</v>
      </c>
      <c r="AE6" s="34">
        <f t="shared" ref="AE6:AE40" si="7">T6*AC6</f>
        <v>2193</v>
      </c>
      <c r="AF6" s="81"/>
      <c r="AG6" s="27">
        <v>356.8</v>
      </c>
      <c r="AH6" s="27">
        <f t="shared" ref="AH6:AH40" si="8">T6*AG6</f>
        <v>15342.4</v>
      </c>
      <c r="AJ6" s="52">
        <f t="shared" ref="AJ6:AK40" si="9">T6</f>
        <v>43</v>
      </c>
      <c r="AK6" s="45" t="str">
        <f t="shared" si="9"/>
        <v>Estudio 1</v>
      </c>
      <c r="AL6" s="45">
        <f t="shared" si="2"/>
        <v>18841.739999999998</v>
      </c>
      <c r="AM6" s="44">
        <f t="shared" ref="AM6:AM40" si="10">(R6-AD6)*365</f>
        <v>2338.5549999999998</v>
      </c>
      <c r="AN6" s="53">
        <f t="shared" ref="AN6:AN40" si="11">100%-(AD6/S6)</f>
        <v>0.68124999999999991</v>
      </c>
      <c r="AO6" s="45">
        <f t="shared" si="3"/>
        <v>2164.8006</v>
      </c>
      <c r="AP6" s="44">
        <f t="shared" ref="AP6:AP40" si="12">AH6</f>
        <v>15342.4</v>
      </c>
      <c r="AQ6" s="44">
        <f t="shared" ref="AQ6:AQ41" si="13">AP6/AO6</f>
        <v>7.0872116351039445</v>
      </c>
    </row>
    <row r="7" spans="1:43" ht="15.75" thickBot="1">
      <c r="A7" s="17">
        <v>357</v>
      </c>
      <c r="B7" s="17" t="s">
        <v>85</v>
      </c>
      <c r="C7" s="17" t="s">
        <v>61</v>
      </c>
      <c r="D7" s="17">
        <v>6.2</v>
      </c>
      <c r="E7" s="17">
        <v>18</v>
      </c>
      <c r="F7" s="20">
        <v>0.96</v>
      </c>
      <c r="G7" s="17"/>
      <c r="H7" s="17">
        <v>4.5</v>
      </c>
      <c r="I7" s="17"/>
      <c r="J7" s="17"/>
      <c r="K7" s="17"/>
      <c r="L7" s="17"/>
      <c r="M7" s="17"/>
      <c r="N7" s="17" t="str">
        <f>'[1]TABLA RESUMEN'!$W$246</f>
        <v>VS AP</v>
      </c>
      <c r="O7" s="28">
        <f>'[1]TABLA RESUMEN'!$X$246</f>
        <v>70</v>
      </c>
      <c r="P7" s="26">
        <f>4+4+4+5+8+6+5+1+4+5+4+13+6+14+12+8+10+6+6+4+3+3+5+3+10+10+2+7+9+3+7+3+1+9+8+7+6+3+10+5+4+17+16+10+8+11+7+6+10+1+18+6</f>
        <v>357</v>
      </c>
      <c r="Q7" s="27">
        <f t="shared" si="0"/>
        <v>19.992000000000001</v>
      </c>
      <c r="R7" s="80">
        <f t="shared" si="4"/>
        <v>19.992000000000001</v>
      </c>
      <c r="S7" s="34">
        <f t="shared" si="1"/>
        <v>15.993600000000001</v>
      </c>
      <c r="T7" s="29">
        <f t="shared" si="5"/>
        <v>357</v>
      </c>
      <c r="U7" s="63" t="s">
        <v>145</v>
      </c>
      <c r="V7" s="60" t="s">
        <v>140</v>
      </c>
      <c r="W7" s="60">
        <v>70.7</v>
      </c>
      <c r="X7" s="60">
        <v>70</v>
      </c>
      <c r="Y7" s="60"/>
      <c r="Z7" s="60"/>
      <c r="AA7" s="60" t="s">
        <v>135</v>
      </c>
      <c r="AB7" s="60" t="s">
        <v>141</v>
      </c>
      <c r="AC7" s="60">
        <v>20</v>
      </c>
      <c r="AD7" s="27">
        <f t="shared" si="6"/>
        <v>7.14</v>
      </c>
      <c r="AE7" s="34">
        <f t="shared" si="7"/>
        <v>7140</v>
      </c>
      <c r="AF7" s="81"/>
      <c r="AG7" s="27">
        <v>310.89999999999998</v>
      </c>
      <c r="AH7" s="27">
        <f t="shared" si="8"/>
        <v>110991.29999999999</v>
      </c>
      <c r="AJ7" s="52">
        <f t="shared" si="9"/>
        <v>357</v>
      </c>
      <c r="AK7" s="45" t="str">
        <f t="shared" si="9"/>
        <v>Estudio 8</v>
      </c>
      <c r="AL7" s="45">
        <f t="shared" si="2"/>
        <v>35591.472000000002</v>
      </c>
      <c r="AM7" s="44">
        <f t="shared" si="10"/>
        <v>4690.9800000000005</v>
      </c>
      <c r="AN7" s="53">
        <f t="shared" si="11"/>
        <v>0.5535714285714286</v>
      </c>
      <c r="AO7" s="45">
        <f t="shared" si="3"/>
        <v>4122.0648000000001</v>
      </c>
      <c r="AP7" s="44">
        <f t="shared" si="12"/>
        <v>110991.29999999999</v>
      </c>
      <c r="AQ7" s="44">
        <f t="shared" si="13"/>
        <v>26.926141481327509</v>
      </c>
    </row>
    <row r="8" spans="1:43" ht="15.75" thickBot="1">
      <c r="A8" s="17">
        <v>969</v>
      </c>
      <c r="B8" s="17" t="s">
        <v>86</v>
      </c>
      <c r="C8" s="17" t="s">
        <v>61</v>
      </c>
      <c r="D8" s="17">
        <v>6</v>
      </c>
      <c r="E8" s="17">
        <v>16</v>
      </c>
      <c r="F8" s="20">
        <v>1.5</v>
      </c>
      <c r="G8" s="17">
        <v>1.8</v>
      </c>
      <c r="H8" s="17">
        <v>3.3</v>
      </c>
      <c r="I8" s="17"/>
      <c r="J8" s="17"/>
      <c r="K8" s="17">
        <v>1.8</v>
      </c>
      <c r="L8" s="17">
        <v>1.5</v>
      </c>
      <c r="M8" s="17"/>
      <c r="N8" s="17" t="str">
        <f>'[1]TABLA RESUMEN'!$W$16</f>
        <v>VS AP</v>
      </c>
      <c r="O8" s="28">
        <f>'[1]TABLA RESUMEN'!$X$16</f>
        <v>100</v>
      </c>
      <c r="P8" s="26">
        <f>4+8+5+7+7+7+5+4+20+5+6+4+8+4+3+19+8+8+13+15+10+6+17+5+26+8+5+19+7+13+8+9+8+4+5+2+17+8+3+13+18+4+18+7+6+10+8+26+15+8+5+17+4+4+6+10+4+7+4+10+3+10+5+3+7+8+9+3+7+14+7+5+2+11+18+5+7+3+8+7+1+14+8+7+4+12+1+9+5+4+5+7+12+15+8+2+12+4+2+8+9+3+3+3+8+16+2+5+11+3+5+14+5+4+7+5+9+4+7+2+8+10</f>
        <v>969</v>
      </c>
      <c r="Q8" s="27">
        <f t="shared" si="0"/>
        <v>77.52</v>
      </c>
      <c r="R8" s="80">
        <f t="shared" si="4"/>
        <v>77.52</v>
      </c>
      <c r="S8" s="34">
        <f t="shared" si="1"/>
        <v>62.015999999999998</v>
      </c>
      <c r="T8" s="29">
        <f t="shared" si="5"/>
        <v>969</v>
      </c>
      <c r="U8" s="64" t="s">
        <v>139</v>
      </c>
      <c r="V8" s="60" t="s">
        <v>140</v>
      </c>
      <c r="W8" s="60">
        <v>8.6999999999999993</v>
      </c>
      <c r="X8" s="60">
        <v>79</v>
      </c>
      <c r="Y8" s="60"/>
      <c r="Z8" s="60"/>
      <c r="AA8" s="60" t="s">
        <v>135</v>
      </c>
      <c r="AB8" s="60" t="s">
        <v>141</v>
      </c>
      <c r="AC8" s="60">
        <v>20</v>
      </c>
      <c r="AD8" s="27">
        <f t="shared" si="6"/>
        <v>19.38</v>
      </c>
      <c r="AE8" s="34">
        <f t="shared" si="7"/>
        <v>19380</v>
      </c>
      <c r="AF8" s="81"/>
      <c r="AG8" s="27">
        <v>310.89999999999998</v>
      </c>
      <c r="AH8" s="27">
        <f t="shared" si="8"/>
        <v>301262.09999999998</v>
      </c>
      <c r="AJ8" s="52">
        <f t="shared" si="9"/>
        <v>969</v>
      </c>
      <c r="AK8" s="45" t="str">
        <f t="shared" si="9"/>
        <v>Estudio 2</v>
      </c>
      <c r="AL8" s="45">
        <f t="shared" si="2"/>
        <v>171396.71999999997</v>
      </c>
      <c r="AM8" s="44">
        <f t="shared" si="10"/>
        <v>21221.1</v>
      </c>
      <c r="AN8" s="53">
        <f t="shared" si="11"/>
        <v>0.6875</v>
      </c>
      <c r="AO8" s="45">
        <f t="shared" si="3"/>
        <v>19686.203999999998</v>
      </c>
      <c r="AP8" s="44">
        <f t="shared" si="12"/>
        <v>301262.09999999998</v>
      </c>
      <c r="AQ8" s="44">
        <f t="shared" si="13"/>
        <v>15.303209293167948</v>
      </c>
    </row>
    <row r="9" spans="1:43" ht="15.75" thickBot="1">
      <c r="A9" s="17">
        <v>432</v>
      </c>
      <c r="B9" s="17" t="s">
        <v>87</v>
      </c>
      <c r="C9" s="17" t="s">
        <v>61</v>
      </c>
      <c r="D9" s="17">
        <v>6.7</v>
      </c>
      <c r="E9" s="17">
        <v>20</v>
      </c>
      <c r="F9" s="20"/>
      <c r="G9" s="17"/>
      <c r="H9" s="17"/>
      <c r="I9" s="17"/>
      <c r="J9" s="17"/>
      <c r="K9" s="17"/>
      <c r="L9" s="17"/>
      <c r="M9" s="17"/>
      <c r="N9" s="17" t="s">
        <v>70</v>
      </c>
      <c r="O9" s="28">
        <v>150</v>
      </c>
      <c r="P9" s="26">
        <f>2+10+26+8+7+15+8+2+4+26+20+8+8+7+5+6+5+26+2+7+2+10+16+6+3+8+18+6+3+7+3+3+2+9+24+38+11+13+2+10+12+2+8+14</f>
        <v>432</v>
      </c>
      <c r="Q9" s="27">
        <f t="shared" si="0"/>
        <v>51.84</v>
      </c>
      <c r="R9" s="80">
        <f t="shared" si="4"/>
        <v>51.84</v>
      </c>
      <c r="S9" s="34">
        <f t="shared" si="1"/>
        <v>41.472000000000008</v>
      </c>
      <c r="T9" s="29">
        <f t="shared" si="5"/>
        <v>432</v>
      </c>
      <c r="U9" s="64" t="s">
        <v>143</v>
      </c>
      <c r="V9" s="60" t="s">
        <v>140</v>
      </c>
      <c r="W9" s="60">
        <v>8.3000000000000007</v>
      </c>
      <c r="X9" s="60">
        <v>70</v>
      </c>
      <c r="Y9" s="60"/>
      <c r="Z9" s="60"/>
      <c r="AA9" s="60" t="s">
        <v>135</v>
      </c>
      <c r="AB9" s="60" t="s">
        <v>142</v>
      </c>
      <c r="AC9" s="60">
        <v>26</v>
      </c>
      <c r="AD9" s="27">
        <f t="shared" si="6"/>
        <v>11.231999999999999</v>
      </c>
      <c r="AE9" s="34">
        <f t="shared" si="7"/>
        <v>11232</v>
      </c>
      <c r="AF9" s="81"/>
      <c r="AG9" s="27">
        <v>318.89999999999998</v>
      </c>
      <c r="AH9" s="27">
        <f t="shared" si="8"/>
        <v>137764.79999999999</v>
      </c>
      <c r="AJ9" s="52">
        <f t="shared" si="9"/>
        <v>432</v>
      </c>
      <c r="AK9" s="45" t="str">
        <f t="shared" si="9"/>
        <v>Estudio 3</v>
      </c>
      <c r="AL9" s="45">
        <f t="shared" si="2"/>
        <v>121564.80000000003</v>
      </c>
      <c r="AM9" s="44">
        <f t="shared" si="10"/>
        <v>14821.920000000002</v>
      </c>
      <c r="AN9" s="53">
        <f t="shared" si="11"/>
        <v>0.72916666666666674</v>
      </c>
      <c r="AO9" s="45">
        <f t="shared" si="3"/>
        <v>13935.110400000003</v>
      </c>
      <c r="AP9" s="44">
        <f t="shared" si="12"/>
        <v>137764.79999999999</v>
      </c>
      <c r="AQ9" s="44">
        <f t="shared" si="13"/>
        <v>9.8861649492206354</v>
      </c>
    </row>
    <row r="10" spans="1:43" ht="15.75" thickBot="1">
      <c r="A10" s="17">
        <v>246</v>
      </c>
      <c r="B10" s="17" t="s">
        <v>88</v>
      </c>
      <c r="C10" s="17" t="s">
        <v>61</v>
      </c>
      <c r="D10" s="17">
        <v>6</v>
      </c>
      <c r="E10" s="17">
        <v>28</v>
      </c>
      <c r="F10" s="20">
        <v>2.2999999999999998</v>
      </c>
      <c r="G10" s="17"/>
      <c r="H10" s="17">
        <v>2.85</v>
      </c>
      <c r="I10" s="17"/>
      <c r="J10" s="17">
        <v>2.85</v>
      </c>
      <c r="K10" s="17"/>
      <c r="L10" s="17"/>
      <c r="M10" s="17"/>
      <c r="N10" s="17" t="str">
        <f>'[1]TABLA RESUMEN'!$W$13</f>
        <v>V HG</v>
      </c>
      <c r="O10" s="28">
        <f>'[1]TABLA RESUMEN'!$X$13</f>
        <v>125</v>
      </c>
      <c r="P10" s="26">
        <f>5+6+6+9+8+5+8+4+7+3+9+7+7+6+6+9+3+7+2+7+2+13+7+18+19+3+7+4+4+6+6+7+4+11+6+5</f>
        <v>246</v>
      </c>
      <c r="Q10" s="27">
        <f t="shared" si="0"/>
        <v>24.6</v>
      </c>
      <c r="R10" s="80">
        <f t="shared" si="4"/>
        <v>24.6</v>
      </c>
      <c r="S10" s="34">
        <f t="shared" si="1"/>
        <v>19.680000000000003</v>
      </c>
      <c r="T10" s="29">
        <f t="shared" si="5"/>
        <v>246</v>
      </c>
      <c r="U10" s="66" t="s">
        <v>146</v>
      </c>
      <c r="V10" s="60" t="s">
        <v>140</v>
      </c>
      <c r="W10" s="82">
        <v>8.9</v>
      </c>
      <c r="X10" s="60">
        <v>27</v>
      </c>
      <c r="Y10" s="60"/>
      <c r="Z10" s="60"/>
      <c r="AA10" s="60" t="s">
        <v>135</v>
      </c>
      <c r="AB10" s="60" t="s">
        <v>147</v>
      </c>
      <c r="AC10" s="60">
        <v>26</v>
      </c>
      <c r="AD10" s="27">
        <f t="shared" si="6"/>
        <v>6.3959999999999999</v>
      </c>
      <c r="AE10" s="34">
        <f t="shared" si="7"/>
        <v>6396</v>
      </c>
      <c r="AF10" s="81"/>
      <c r="AG10" s="27">
        <v>318.7</v>
      </c>
      <c r="AH10" s="27">
        <f t="shared" si="8"/>
        <v>78400.2</v>
      </c>
      <c r="AJ10" s="52">
        <f t="shared" si="9"/>
        <v>246</v>
      </c>
      <c r="AK10" s="45" t="str">
        <f t="shared" si="9"/>
        <v>Estudio 9</v>
      </c>
      <c r="AL10" s="45">
        <f t="shared" si="2"/>
        <v>53401.680000000008</v>
      </c>
      <c r="AM10" s="44">
        <f t="shared" si="10"/>
        <v>6644.46</v>
      </c>
      <c r="AN10" s="53">
        <f t="shared" si="11"/>
        <v>0.67500000000000004</v>
      </c>
      <c r="AO10" s="45">
        <f t="shared" si="3"/>
        <v>6137.503200000001</v>
      </c>
      <c r="AP10" s="44">
        <f t="shared" si="12"/>
        <v>78400.2</v>
      </c>
      <c r="AQ10" s="44">
        <f t="shared" si="13"/>
        <v>12.773956679973704</v>
      </c>
    </row>
    <row r="11" spans="1:43" ht="15.75" thickBot="1">
      <c r="A11" s="17">
        <v>71</v>
      </c>
      <c r="B11" s="17" t="s">
        <v>89</v>
      </c>
      <c r="C11" s="17" t="s">
        <v>61</v>
      </c>
      <c r="D11" s="17">
        <v>6.5</v>
      </c>
      <c r="E11" s="17">
        <v>17</v>
      </c>
      <c r="F11" s="20">
        <v>0.8</v>
      </c>
      <c r="G11" s="17"/>
      <c r="H11" s="17">
        <v>4</v>
      </c>
      <c r="I11" s="17"/>
      <c r="J11" s="17"/>
      <c r="K11" s="17"/>
      <c r="L11" s="17"/>
      <c r="M11" s="17"/>
      <c r="N11" s="17" t="str">
        <f>'[1]TABLA RESUMEN'!$W$198</f>
        <v>V HG</v>
      </c>
      <c r="O11" s="28">
        <f>'[1]TABLA RESUMEN'!$X$198</f>
        <v>125</v>
      </c>
      <c r="P11" s="26">
        <f>2+5+4+3+1+3+4+6+4+2+3+8+5+6+6+3+6</f>
        <v>71</v>
      </c>
      <c r="Q11" s="27">
        <f t="shared" si="0"/>
        <v>7.1</v>
      </c>
      <c r="R11" s="80">
        <f t="shared" si="4"/>
        <v>7.1</v>
      </c>
      <c r="S11" s="34">
        <f t="shared" si="1"/>
        <v>5.68</v>
      </c>
      <c r="T11" s="29">
        <f t="shared" si="5"/>
        <v>71</v>
      </c>
      <c r="U11" s="66" t="s">
        <v>148</v>
      </c>
      <c r="V11" s="60" t="s">
        <v>140</v>
      </c>
      <c r="W11" s="82">
        <v>7.5</v>
      </c>
      <c r="X11" s="60">
        <v>75</v>
      </c>
      <c r="Y11" s="60"/>
      <c r="Z11" s="60"/>
      <c r="AA11" s="60" t="s">
        <v>135</v>
      </c>
      <c r="AB11" s="60" t="s">
        <v>141</v>
      </c>
      <c r="AC11" s="60">
        <v>20</v>
      </c>
      <c r="AD11" s="27">
        <f t="shared" si="6"/>
        <v>1.42</v>
      </c>
      <c r="AE11" s="34">
        <f t="shared" si="7"/>
        <v>1420</v>
      </c>
      <c r="AF11" s="81"/>
      <c r="AG11" s="27">
        <v>310.89999999999998</v>
      </c>
      <c r="AH11" s="27">
        <f t="shared" si="8"/>
        <v>22073.899999999998</v>
      </c>
      <c r="AJ11" s="52">
        <f t="shared" si="9"/>
        <v>71</v>
      </c>
      <c r="AK11" s="45" t="str">
        <f t="shared" si="9"/>
        <v>Estudio 11</v>
      </c>
      <c r="AL11" s="45">
        <f t="shared" si="2"/>
        <v>17125.2</v>
      </c>
      <c r="AM11" s="44">
        <f t="shared" si="10"/>
        <v>2073.1999999999998</v>
      </c>
      <c r="AN11" s="53">
        <f t="shared" si="11"/>
        <v>0.75</v>
      </c>
      <c r="AO11" s="45">
        <f t="shared" si="3"/>
        <v>1961.3040000000001</v>
      </c>
      <c r="AP11" s="44">
        <f t="shared" si="12"/>
        <v>22073.899999999998</v>
      </c>
      <c r="AQ11" s="44">
        <f t="shared" si="13"/>
        <v>11.254706052707789</v>
      </c>
    </row>
    <row r="12" spans="1:43" ht="15.75" thickBot="1">
      <c r="A12" s="17">
        <v>59</v>
      </c>
      <c r="B12" s="17" t="s">
        <v>90</v>
      </c>
      <c r="C12" s="17" t="s">
        <v>66</v>
      </c>
      <c r="D12" s="17">
        <v>4.4000000000000004</v>
      </c>
      <c r="E12" s="17">
        <v>19</v>
      </c>
      <c r="F12" s="20">
        <v>1.5</v>
      </c>
      <c r="G12" s="17">
        <v>1.8</v>
      </c>
      <c r="H12" s="17">
        <f>8.9-1.8*2</f>
        <v>5.3000000000000007</v>
      </c>
      <c r="I12" s="17"/>
      <c r="J12" s="17"/>
      <c r="K12" s="17">
        <v>1.8</v>
      </c>
      <c r="L12" s="17">
        <v>1.5</v>
      </c>
      <c r="M12" s="17"/>
      <c r="N12" s="17" t="str">
        <f>'[1]TABLA RESUMEN'!$W$154</f>
        <v>V HG</v>
      </c>
      <c r="O12" s="28">
        <f>'[1]TABLA RESUMEN'!$X$154</f>
        <v>125</v>
      </c>
      <c r="P12" s="26">
        <f>6+8+3+3+7+3+7+12+10</f>
        <v>59</v>
      </c>
      <c r="Q12" s="27">
        <f t="shared" si="0"/>
        <v>5.9</v>
      </c>
      <c r="R12" s="80">
        <f t="shared" si="4"/>
        <v>5.9</v>
      </c>
      <c r="S12" s="34">
        <f t="shared" si="1"/>
        <v>4.7200000000000006</v>
      </c>
      <c r="T12" s="29">
        <f t="shared" si="5"/>
        <v>59</v>
      </c>
      <c r="U12" s="65" t="s">
        <v>149</v>
      </c>
      <c r="V12" s="60" t="s">
        <v>140</v>
      </c>
      <c r="W12" s="82">
        <v>15.4</v>
      </c>
      <c r="X12" s="60">
        <v>67</v>
      </c>
      <c r="Y12" s="60"/>
      <c r="Z12" s="60"/>
      <c r="AA12" s="60" t="s">
        <v>135</v>
      </c>
      <c r="AB12" s="60" t="s">
        <v>141</v>
      </c>
      <c r="AC12" s="60">
        <v>20</v>
      </c>
      <c r="AD12" s="27">
        <f t="shared" si="6"/>
        <v>1.18</v>
      </c>
      <c r="AE12" s="34">
        <f t="shared" si="7"/>
        <v>1180</v>
      </c>
      <c r="AF12" s="81"/>
      <c r="AG12" s="27">
        <v>310.89999999999998</v>
      </c>
      <c r="AH12" s="27">
        <f t="shared" si="8"/>
        <v>18343.099999999999</v>
      </c>
      <c r="AI12" s="35" t="s">
        <v>159</v>
      </c>
      <c r="AJ12" s="52">
        <f t="shared" si="9"/>
        <v>59</v>
      </c>
      <c r="AK12" s="45" t="str">
        <f t="shared" si="9"/>
        <v>Estudio 6</v>
      </c>
      <c r="AL12" s="45">
        <f t="shared" si="2"/>
        <v>14230.800000000003</v>
      </c>
      <c r="AM12" s="44">
        <f t="shared" si="10"/>
        <v>1722.8000000000002</v>
      </c>
      <c r="AN12" s="53">
        <f t="shared" si="11"/>
        <v>0.75</v>
      </c>
      <c r="AO12" s="45">
        <f t="shared" si="3"/>
        <v>1629.8160000000005</v>
      </c>
      <c r="AP12" s="44">
        <f t="shared" si="12"/>
        <v>18343.099999999999</v>
      </c>
      <c r="AQ12" s="44">
        <f t="shared" si="13"/>
        <v>11.254706052707785</v>
      </c>
    </row>
    <row r="13" spans="1:43" ht="15.75" thickBot="1">
      <c r="A13" s="17">
        <v>61</v>
      </c>
      <c r="B13" s="17" t="s">
        <v>91</v>
      </c>
      <c r="C13" s="17" t="s">
        <v>61</v>
      </c>
      <c r="D13" s="18">
        <v>6</v>
      </c>
      <c r="E13" s="18">
        <v>30</v>
      </c>
      <c r="F13" s="19">
        <v>0.8</v>
      </c>
      <c r="G13" s="18"/>
      <c r="H13" s="18">
        <v>4.4000000000000004</v>
      </c>
      <c r="I13" s="18"/>
      <c r="J13" s="18"/>
      <c r="K13" s="18"/>
      <c r="L13" s="18">
        <v>0.8</v>
      </c>
      <c r="M13" s="17"/>
      <c r="N13" s="17" t="str">
        <f>'[1]TABLA RESUMEN'!$W$309</f>
        <v>V HG</v>
      </c>
      <c r="O13" s="28">
        <f>'[1]TABLA RESUMEN'!$X$309</f>
        <v>125</v>
      </c>
      <c r="P13" s="26">
        <f>4+6+5+8+4+11+4+15+4</f>
        <v>61</v>
      </c>
      <c r="Q13" s="27">
        <f t="shared" si="0"/>
        <v>6.1</v>
      </c>
      <c r="R13" s="80">
        <f t="shared" si="4"/>
        <v>6.1</v>
      </c>
      <c r="S13" s="34">
        <f t="shared" si="1"/>
        <v>4.88</v>
      </c>
      <c r="T13" s="29">
        <f t="shared" si="5"/>
        <v>61</v>
      </c>
      <c r="U13" s="67" t="s">
        <v>150</v>
      </c>
      <c r="V13" s="60" t="s">
        <v>140</v>
      </c>
      <c r="W13" s="82">
        <v>88.3</v>
      </c>
      <c r="X13" s="60">
        <v>27</v>
      </c>
      <c r="Y13" s="60"/>
      <c r="Z13" s="60"/>
      <c r="AA13" s="60" t="s">
        <v>135</v>
      </c>
      <c r="AB13" s="60" t="s">
        <v>147</v>
      </c>
      <c r="AC13" s="60">
        <v>26</v>
      </c>
      <c r="AD13" s="27">
        <f t="shared" si="6"/>
        <v>1.5860000000000001</v>
      </c>
      <c r="AE13" s="34">
        <f t="shared" si="7"/>
        <v>1586</v>
      </c>
      <c r="AF13" s="81"/>
      <c r="AG13" s="27">
        <v>318.7</v>
      </c>
      <c r="AH13" s="27">
        <f t="shared" si="8"/>
        <v>19440.7</v>
      </c>
      <c r="AJ13" s="52">
        <f t="shared" si="9"/>
        <v>61</v>
      </c>
      <c r="AK13" s="45" t="str">
        <f t="shared" si="9"/>
        <v>Estudio 10</v>
      </c>
      <c r="AL13" s="45">
        <f t="shared" si="2"/>
        <v>13241.88</v>
      </c>
      <c r="AM13" s="44">
        <f t="shared" si="10"/>
        <v>1647.6099999999997</v>
      </c>
      <c r="AN13" s="53">
        <f t="shared" si="11"/>
        <v>0.67500000000000004</v>
      </c>
      <c r="AO13" s="45">
        <f t="shared" si="3"/>
        <v>1521.9012</v>
      </c>
      <c r="AP13" s="44">
        <f t="shared" si="12"/>
        <v>19440.7</v>
      </c>
      <c r="AQ13" s="44">
        <f t="shared" si="13"/>
        <v>12.773956679973708</v>
      </c>
    </row>
    <row r="14" spans="1:43" ht="15.75" thickBot="1">
      <c r="A14" s="17">
        <v>82</v>
      </c>
      <c r="B14" s="17" t="s">
        <v>92</v>
      </c>
      <c r="C14" s="17" t="s">
        <v>61</v>
      </c>
      <c r="D14" s="17">
        <v>8.9</v>
      </c>
      <c r="E14" s="17">
        <v>30</v>
      </c>
      <c r="F14" s="20">
        <v>2.1</v>
      </c>
      <c r="G14" s="17"/>
      <c r="H14" s="17">
        <v>7.8</v>
      </c>
      <c r="I14" s="17"/>
      <c r="J14" s="17"/>
      <c r="K14" s="17"/>
      <c r="L14" s="17">
        <v>2.1</v>
      </c>
      <c r="M14" s="17"/>
      <c r="N14" s="17" t="str">
        <f>'[1]TABLA RESUMEN'!$W$249</f>
        <v>VS AP</v>
      </c>
      <c r="O14" s="28">
        <f>'[1]TABLA RESUMEN'!$X$249</f>
        <v>100</v>
      </c>
      <c r="P14" s="26">
        <f>12+16+3+7+7+7+6+6+18</f>
        <v>82</v>
      </c>
      <c r="Q14" s="27">
        <f t="shared" si="0"/>
        <v>6.56</v>
      </c>
      <c r="R14" s="80">
        <f t="shared" si="4"/>
        <v>6.56</v>
      </c>
      <c r="S14" s="34">
        <f t="shared" si="1"/>
        <v>5.2480000000000002</v>
      </c>
      <c r="T14" s="29">
        <f t="shared" si="5"/>
        <v>82</v>
      </c>
      <c r="U14" s="68" t="s">
        <v>144</v>
      </c>
      <c r="V14" s="60" t="s">
        <v>140</v>
      </c>
      <c r="W14" s="60">
        <v>9</v>
      </c>
      <c r="X14" s="60">
        <v>64</v>
      </c>
      <c r="Y14" s="60"/>
      <c r="Z14" s="60"/>
      <c r="AA14" s="60" t="s">
        <v>135</v>
      </c>
      <c r="AB14" s="60" t="s">
        <v>136</v>
      </c>
      <c r="AC14" s="60">
        <v>51</v>
      </c>
      <c r="AD14" s="27">
        <f t="shared" si="6"/>
        <v>4.1820000000000004</v>
      </c>
      <c r="AE14" s="34">
        <f t="shared" si="7"/>
        <v>4182</v>
      </c>
      <c r="AF14" s="81"/>
      <c r="AG14" s="27">
        <v>344.56</v>
      </c>
      <c r="AH14" s="27">
        <f t="shared" si="8"/>
        <v>28253.920000000002</v>
      </c>
      <c r="AJ14" s="52">
        <f t="shared" si="9"/>
        <v>82</v>
      </c>
      <c r="AK14" s="45" t="str">
        <f t="shared" si="9"/>
        <v>Estudio 4</v>
      </c>
      <c r="AL14" s="45">
        <f t="shared" si="2"/>
        <v>4285.32</v>
      </c>
      <c r="AM14" s="44">
        <f t="shared" si="10"/>
        <v>867.96999999999969</v>
      </c>
      <c r="AN14" s="53">
        <f t="shared" si="11"/>
        <v>0.203125</v>
      </c>
      <c r="AO14" s="45">
        <f t="shared" si="3"/>
        <v>532.6884</v>
      </c>
      <c r="AP14" s="44">
        <f t="shared" si="12"/>
        <v>28253.920000000002</v>
      </c>
      <c r="AQ14" s="44">
        <f t="shared" si="13"/>
        <v>53.040238908900591</v>
      </c>
    </row>
    <row r="15" spans="1:43" ht="15.75" thickBot="1">
      <c r="A15" s="17">
        <f>'[1]TABLA RESUMEN'!$C$25</f>
        <v>257</v>
      </c>
      <c r="B15" s="17" t="s">
        <v>93</v>
      </c>
      <c r="C15" s="17" t="s">
        <v>66</v>
      </c>
      <c r="D15" s="17">
        <v>10</v>
      </c>
      <c r="E15" s="17">
        <v>39</v>
      </c>
      <c r="F15" s="20">
        <v>0.9</v>
      </c>
      <c r="G15" s="17"/>
      <c r="H15" s="17">
        <v>8</v>
      </c>
      <c r="I15" s="17">
        <v>2</v>
      </c>
      <c r="J15" s="17">
        <v>7.9</v>
      </c>
      <c r="K15" s="17"/>
      <c r="L15" s="17"/>
      <c r="M15" s="17"/>
      <c r="N15" s="17" t="str">
        <f>'[1]TABLA RESUMEN'!$W$25</f>
        <v>VS AP</v>
      </c>
      <c r="O15" s="28">
        <f>'[1]TABLA RESUMEN'!$X$25</f>
        <v>250</v>
      </c>
      <c r="P15" s="26">
        <f>A15</f>
        <v>257</v>
      </c>
      <c r="Q15" s="27">
        <f t="shared" si="0"/>
        <v>51.4</v>
      </c>
      <c r="R15" s="80">
        <f t="shared" si="4"/>
        <v>51.4</v>
      </c>
      <c r="S15" s="34">
        <f t="shared" si="1"/>
        <v>41.120000000000005</v>
      </c>
      <c r="T15" s="29">
        <f t="shared" si="5"/>
        <v>257</v>
      </c>
      <c r="U15" s="62" t="s">
        <v>151</v>
      </c>
      <c r="V15" s="60" t="s">
        <v>140</v>
      </c>
      <c r="W15" s="60">
        <v>9.1</v>
      </c>
      <c r="X15" s="60">
        <v>50</v>
      </c>
      <c r="Y15" s="60"/>
      <c r="Z15" s="60"/>
      <c r="AA15" s="60" t="s">
        <v>135</v>
      </c>
      <c r="AB15" s="60" t="s">
        <v>136</v>
      </c>
      <c r="AC15" s="60">
        <v>51</v>
      </c>
      <c r="AD15" s="27">
        <f t="shared" si="6"/>
        <v>13.106999999999999</v>
      </c>
      <c r="AE15" s="34">
        <f t="shared" si="7"/>
        <v>13107</v>
      </c>
      <c r="AF15" s="81"/>
      <c r="AG15" s="27">
        <v>344.56</v>
      </c>
      <c r="AH15" s="27">
        <f t="shared" si="8"/>
        <v>88551.92</v>
      </c>
      <c r="AI15" s="90"/>
      <c r="AJ15" s="52">
        <f t="shared" si="9"/>
        <v>257</v>
      </c>
      <c r="AK15" s="45" t="str">
        <f t="shared" si="9"/>
        <v>Estudio 15</v>
      </c>
      <c r="AL15" s="45">
        <f t="shared" si="2"/>
        <v>112612.26000000002</v>
      </c>
      <c r="AM15" s="44">
        <f t="shared" si="10"/>
        <v>13976.945</v>
      </c>
      <c r="AN15" s="53">
        <f t="shared" si="11"/>
        <v>0.68125000000000013</v>
      </c>
      <c r="AO15" s="45">
        <f t="shared" si="3"/>
        <v>12938.459400000002</v>
      </c>
      <c r="AP15" s="44">
        <f t="shared" si="12"/>
        <v>88551.92</v>
      </c>
      <c r="AQ15" s="44">
        <f t="shared" si="13"/>
        <v>6.8440853166799744</v>
      </c>
    </row>
    <row r="16" spans="1:43" ht="15.75" thickBot="1">
      <c r="A16" s="17">
        <f>70+186+188+33</f>
        <v>477</v>
      </c>
      <c r="B16" s="18" t="s">
        <v>67</v>
      </c>
      <c r="C16" s="17" t="s">
        <v>63</v>
      </c>
      <c r="D16" s="17">
        <v>7.9</v>
      </c>
      <c r="E16" s="17">
        <v>56.1</v>
      </c>
      <c r="F16" s="20">
        <v>4.4000000000000004</v>
      </c>
      <c r="G16" s="17"/>
      <c r="H16" s="17">
        <v>8.1999999999999993</v>
      </c>
      <c r="I16" s="17">
        <v>5</v>
      </c>
      <c r="J16" s="17">
        <v>8</v>
      </c>
      <c r="K16" s="17"/>
      <c r="L16" s="17">
        <v>3</v>
      </c>
      <c r="M16" s="17"/>
      <c r="N16" s="17" t="str">
        <f>'[1]TABLA RESUMEN'!$W$453</f>
        <v>VS AP</v>
      </c>
      <c r="O16" s="28">
        <f>'[1]TABLA RESUMEN'!$X$453</f>
        <v>250</v>
      </c>
      <c r="P16" s="26">
        <f t="shared" ref="P16:P40" si="14">A16</f>
        <v>477</v>
      </c>
      <c r="Q16" s="27">
        <f t="shared" si="0"/>
        <v>95.4</v>
      </c>
      <c r="R16" s="80">
        <f t="shared" si="4"/>
        <v>95.4</v>
      </c>
      <c r="S16" s="34">
        <f t="shared" si="1"/>
        <v>76.320000000000007</v>
      </c>
      <c r="T16" s="29">
        <f t="shared" si="5"/>
        <v>477</v>
      </c>
      <c r="U16" s="62" t="s">
        <v>152</v>
      </c>
      <c r="V16" s="60" t="s">
        <v>134</v>
      </c>
      <c r="W16" s="60">
        <v>13.1</v>
      </c>
      <c r="X16" s="60">
        <v>55</v>
      </c>
      <c r="Y16" s="60">
        <v>0.75</v>
      </c>
      <c r="Z16" s="60">
        <v>52</v>
      </c>
      <c r="AA16" s="60" t="s">
        <v>135</v>
      </c>
      <c r="AB16" s="60" t="s">
        <v>136</v>
      </c>
      <c r="AC16" s="60">
        <v>51</v>
      </c>
      <c r="AD16" s="27">
        <f t="shared" si="6"/>
        <v>24.327000000000002</v>
      </c>
      <c r="AE16" s="34">
        <f t="shared" si="7"/>
        <v>24327</v>
      </c>
      <c r="AF16" s="81"/>
      <c r="AG16" s="27">
        <v>344.56</v>
      </c>
      <c r="AH16" s="27">
        <f t="shared" si="8"/>
        <v>164355.12</v>
      </c>
      <c r="AJ16" s="52">
        <f t="shared" si="9"/>
        <v>477</v>
      </c>
      <c r="AK16" s="45" t="str">
        <f t="shared" si="9"/>
        <v>Estudio 12</v>
      </c>
      <c r="AL16" s="45">
        <f t="shared" si="2"/>
        <v>209011.86000000004</v>
      </c>
      <c r="AM16" s="44">
        <f t="shared" si="10"/>
        <v>25941.645000000004</v>
      </c>
      <c r="AN16" s="53">
        <f t="shared" si="11"/>
        <v>0.68125000000000002</v>
      </c>
      <c r="AO16" s="45">
        <f t="shared" si="3"/>
        <v>24014.183400000005</v>
      </c>
      <c r="AP16" s="44">
        <f t="shared" si="12"/>
        <v>164355.12</v>
      </c>
      <c r="AQ16" s="44">
        <f t="shared" si="13"/>
        <v>6.8440853166799736</v>
      </c>
    </row>
    <row r="17" spans="1:43" ht="15.75" thickBot="1">
      <c r="A17" s="20">
        <f>63+33+59+46</f>
        <v>201</v>
      </c>
      <c r="B17" s="18" t="s">
        <v>75</v>
      </c>
      <c r="C17" s="17" t="s">
        <v>66</v>
      </c>
      <c r="D17" s="17">
        <v>8.6999999999999993</v>
      </c>
      <c r="E17" s="20">
        <v>50</v>
      </c>
      <c r="F17" s="17"/>
      <c r="G17" s="17">
        <v>15</v>
      </c>
      <c r="H17" s="17"/>
      <c r="I17" s="17"/>
      <c r="J17" s="16"/>
      <c r="K17" s="17"/>
      <c r="L17" s="16"/>
      <c r="M17" s="17"/>
      <c r="N17" s="17" t="str">
        <f>'[1]TABLA RESUMEN'!$W$455</f>
        <v>VS AP</v>
      </c>
      <c r="O17" s="28">
        <f>'[1]TABLA RESUMEN'!$X$454</f>
        <v>250</v>
      </c>
      <c r="P17" s="26">
        <f t="shared" si="14"/>
        <v>201</v>
      </c>
      <c r="Q17" s="27">
        <f t="shared" si="0"/>
        <v>40.200000000000003</v>
      </c>
      <c r="R17" s="80">
        <f t="shared" si="4"/>
        <v>40.200000000000003</v>
      </c>
      <c r="S17" s="34">
        <f t="shared" si="1"/>
        <v>32.160000000000004</v>
      </c>
      <c r="T17" s="29">
        <f t="shared" si="5"/>
        <v>201</v>
      </c>
      <c r="U17" s="62" t="s">
        <v>153</v>
      </c>
      <c r="V17" s="60" t="s">
        <v>154</v>
      </c>
      <c r="W17" s="60">
        <v>12.5</v>
      </c>
      <c r="X17" s="60">
        <v>44</v>
      </c>
      <c r="Y17" s="60"/>
      <c r="Z17" s="60"/>
      <c r="AA17" s="60" t="s">
        <v>135</v>
      </c>
      <c r="AB17" s="60" t="s">
        <v>155</v>
      </c>
      <c r="AC17" s="60">
        <v>75</v>
      </c>
      <c r="AD17" s="27">
        <f t="shared" si="6"/>
        <v>15.074999999999999</v>
      </c>
      <c r="AE17" s="34">
        <f t="shared" si="7"/>
        <v>15075</v>
      </c>
      <c r="AF17" s="81"/>
      <c r="AG17" s="27">
        <v>412.3</v>
      </c>
      <c r="AH17" s="27">
        <f t="shared" si="8"/>
        <v>82872.3</v>
      </c>
      <c r="AJ17" s="52">
        <f t="shared" si="9"/>
        <v>201</v>
      </c>
      <c r="AK17" s="45" t="str">
        <f t="shared" si="9"/>
        <v>Estudio 13</v>
      </c>
      <c r="AL17" s="45">
        <f t="shared" si="2"/>
        <v>68681.700000000012</v>
      </c>
      <c r="AM17" s="44">
        <f t="shared" si="10"/>
        <v>9170.6250000000018</v>
      </c>
      <c r="AN17" s="53">
        <f t="shared" si="11"/>
        <v>0.53125</v>
      </c>
      <c r="AO17" s="45">
        <f t="shared" si="3"/>
        <v>7968.6450000000023</v>
      </c>
      <c r="AP17" s="44">
        <f t="shared" si="12"/>
        <v>82872.3</v>
      </c>
      <c r="AQ17" s="44">
        <f t="shared" si="13"/>
        <v>10.399798209105812</v>
      </c>
    </row>
    <row r="18" spans="1:43" ht="15.75" thickBot="1">
      <c r="A18" s="20">
        <f>40+51+27</f>
        <v>118</v>
      </c>
      <c r="B18" s="18" t="s">
        <v>68</v>
      </c>
      <c r="C18" s="17" t="s">
        <v>61</v>
      </c>
      <c r="D18" s="17">
        <v>8.4</v>
      </c>
      <c r="E18" s="20">
        <v>59.6</v>
      </c>
      <c r="F18" s="17">
        <v>2.4</v>
      </c>
      <c r="G18" s="17">
        <v>15</v>
      </c>
      <c r="H18" s="17"/>
      <c r="I18" s="17"/>
      <c r="J18" s="16"/>
      <c r="K18" s="17"/>
      <c r="L18" s="16"/>
      <c r="M18" s="17"/>
      <c r="N18" s="17" t="str">
        <f>'[1]TABLA RESUMEN'!$W$456</f>
        <v>VS AP</v>
      </c>
      <c r="O18" s="28">
        <f>'[1]TABLA RESUMEN'!$X$456</f>
        <v>250</v>
      </c>
      <c r="P18" s="26">
        <f t="shared" si="14"/>
        <v>118</v>
      </c>
      <c r="Q18" s="27">
        <f t="shared" si="0"/>
        <v>23.6</v>
      </c>
      <c r="R18" s="80">
        <f t="shared" si="4"/>
        <v>23.6</v>
      </c>
      <c r="S18" s="34">
        <f t="shared" si="1"/>
        <v>18.880000000000003</v>
      </c>
      <c r="T18" s="29">
        <f t="shared" si="5"/>
        <v>118</v>
      </c>
      <c r="U18" s="60" t="s">
        <v>156</v>
      </c>
      <c r="V18" s="60" t="s">
        <v>154</v>
      </c>
      <c r="W18" s="60">
        <v>10.7</v>
      </c>
      <c r="X18" s="60">
        <v>19</v>
      </c>
      <c r="Y18" s="60"/>
      <c r="Z18" s="60"/>
      <c r="AA18" s="60" t="s">
        <v>135</v>
      </c>
      <c r="AB18" s="60" t="s">
        <v>157</v>
      </c>
      <c r="AC18" s="60">
        <v>153</v>
      </c>
      <c r="AD18" s="27">
        <f t="shared" si="6"/>
        <v>18.053999999999998</v>
      </c>
      <c r="AE18" s="34">
        <f t="shared" si="7"/>
        <v>18054</v>
      </c>
      <c r="AF18" s="81"/>
      <c r="AG18" s="27">
        <v>598.4</v>
      </c>
      <c r="AH18" s="27">
        <f t="shared" si="8"/>
        <v>70611.199999999997</v>
      </c>
      <c r="AJ18" s="52">
        <f t="shared" si="9"/>
        <v>118</v>
      </c>
      <c r="AK18" s="45" t="str">
        <f t="shared" si="9"/>
        <v>Estudio 14</v>
      </c>
      <c r="AL18" s="45">
        <f t="shared" si="2"/>
        <v>3320.5200000000164</v>
      </c>
      <c r="AM18" s="44">
        <f t="shared" si="10"/>
        <v>2024.2900000000011</v>
      </c>
      <c r="AN18" s="53">
        <f t="shared" si="11"/>
        <v>4.3750000000000178E-2</v>
      </c>
      <c r="AO18" s="45">
        <f t="shared" si="3"/>
        <v>574.96680000000174</v>
      </c>
      <c r="AP18" s="44">
        <f t="shared" si="12"/>
        <v>70611.199999999997</v>
      </c>
      <c r="AQ18" s="44">
        <f t="shared" si="13"/>
        <v>122.80917785165992</v>
      </c>
    </row>
    <row r="19" spans="1:43" ht="15.75" thickBot="1">
      <c r="A19" s="17">
        <f>8+8+8+3+6+3+6+11+3+4+1+12+2+1+7</f>
        <v>83</v>
      </c>
      <c r="B19" s="17" t="s">
        <v>76</v>
      </c>
      <c r="C19" s="17" t="s">
        <v>61</v>
      </c>
      <c r="D19" s="17">
        <v>4.46</v>
      </c>
      <c r="E19" s="17">
        <v>13.65</v>
      </c>
      <c r="F19" s="20">
        <v>0.6</v>
      </c>
      <c r="G19" s="17"/>
      <c r="H19" s="17">
        <v>4.1500000000000004</v>
      </c>
      <c r="I19" s="17"/>
      <c r="J19" s="17"/>
      <c r="K19" s="17"/>
      <c r="L19" s="17">
        <v>0.6</v>
      </c>
      <c r="M19" s="17"/>
      <c r="N19" s="17" t="str">
        <f>'[1]TABLA RESUMEN'!$W$439</f>
        <v>V HG</v>
      </c>
      <c r="O19" s="28">
        <f>'[1]TABLA RESUMEN'!$X$439</f>
        <v>125</v>
      </c>
      <c r="P19" s="26">
        <f t="shared" si="14"/>
        <v>83</v>
      </c>
      <c r="Q19" s="27">
        <f t="shared" si="0"/>
        <v>8.3000000000000007</v>
      </c>
      <c r="R19" s="80">
        <f t="shared" si="4"/>
        <v>8.3000000000000007</v>
      </c>
      <c r="S19" s="34">
        <f t="shared" si="1"/>
        <v>6.6400000000000006</v>
      </c>
      <c r="T19" s="29">
        <f t="shared" si="5"/>
        <v>83</v>
      </c>
      <c r="U19" s="60" t="s">
        <v>158</v>
      </c>
      <c r="V19" s="60" t="s">
        <v>140</v>
      </c>
      <c r="W19" s="60">
        <v>13.5</v>
      </c>
      <c r="X19" s="60">
        <v>71</v>
      </c>
      <c r="Y19" s="60"/>
      <c r="Z19" s="60"/>
      <c r="AA19" s="60" t="s">
        <v>135</v>
      </c>
      <c r="AB19" s="60" t="s">
        <v>141</v>
      </c>
      <c r="AC19" s="60">
        <v>20</v>
      </c>
      <c r="AD19" s="27">
        <f t="shared" si="6"/>
        <v>1.66</v>
      </c>
      <c r="AE19" s="34">
        <f t="shared" si="7"/>
        <v>1660</v>
      </c>
      <c r="AF19" s="81"/>
      <c r="AG19" s="27">
        <v>310.89999999999998</v>
      </c>
      <c r="AH19" s="27">
        <f t="shared" si="8"/>
        <v>25804.699999999997</v>
      </c>
      <c r="AI19" s="35" t="s">
        <v>159</v>
      </c>
      <c r="AJ19" s="52">
        <f t="shared" si="9"/>
        <v>83</v>
      </c>
      <c r="AK19" s="45" t="str">
        <f t="shared" si="9"/>
        <v>Estudio 7</v>
      </c>
      <c r="AL19" s="45">
        <f t="shared" si="2"/>
        <v>20019.600000000002</v>
      </c>
      <c r="AM19" s="44">
        <f t="shared" si="10"/>
        <v>2423.6000000000004</v>
      </c>
      <c r="AN19" s="53">
        <f t="shared" si="11"/>
        <v>0.75</v>
      </c>
      <c r="AO19" s="45">
        <f t="shared" si="3"/>
        <v>2292.7920000000004</v>
      </c>
      <c r="AP19" s="44">
        <f t="shared" si="12"/>
        <v>25804.699999999997</v>
      </c>
      <c r="AQ19" s="44">
        <f t="shared" si="13"/>
        <v>11.254706052707787</v>
      </c>
    </row>
    <row r="20" spans="1:43" ht="15.75" thickBot="1">
      <c r="A20" s="17">
        <f>9+5+11+8+3+11+12</f>
        <v>59</v>
      </c>
      <c r="B20" s="17" t="s">
        <v>77</v>
      </c>
      <c r="C20" s="17" t="s">
        <v>61</v>
      </c>
      <c r="D20" s="17">
        <v>4.46</v>
      </c>
      <c r="E20" s="17">
        <v>13.65</v>
      </c>
      <c r="F20" s="20">
        <v>0.6</v>
      </c>
      <c r="G20" s="17"/>
      <c r="H20" s="17">
        <v>4.1500000000000004</v>
      </c>
      <c r="I20" s="17"/>
      <c r="J20" s="17"/>
      <c r="K20" s="17"/>
      <c r="L20" s="17">
        <v>0.6</v>
      </c>
      <c r="M20" s="17"/>
      <c r="N20" s="17" t="str">
        <f>'[1]TABLA RESUMEN'!$W$456</f>
        <v>VS AP</v>
      </c>
      <c r="O20" s="28">
        <v>100</v>
      </c>
      <c r="P20" s="26">
        <f t="shared" si="14"/>
        <v>59</v>
      </c>
      <c r="Q20" s="27">
        <f t="shared" si="0"/>
        <v>4.72</v>
      </c>
      <c r="R20" s="80">
        <f t="shared" si="4"/>
        <v>4.72</v>
      </c>
      <c r="S20" s="34">
        <f t="shared" si="1"/>
        <v>3.7759999999999998</v>
      </c>
      <c r="T20" s="29">
        <f t="shared" si="5"/>
        <v>59</v>
      </c>
      <c r="U20" s="60" t="s">
        <v>158</v>
      </c>
      <c r="V20" s="60" t="s">
        <v>140</v>
      </c>
      <c r="W20" s="60">
        <v>13.5</v>
      </c>
      <c r="X20" s="60">
        <v>71</v>
      </c>
      <c r="Y20" s="60"/>
      <c r="Z20" s="60"/>
      <c r="AA20" s="60" t="s">
        <v>135</v>
      </c>
      <c r="AB20" s="60" t="s">
        <v>141</v>
      </c>
      <c r="AC20" s="60">
        <v>20</v>
      </c>
      <c r="AD20" s="27">
        <f t="shared" si="6"/>
        <v>1.18</v>
      </c>
      <c r="AE20" s="34">
        <f t="shared" si="7"/>
        <v>1180</v>
      </c>
      <c r="AF20" s="81"/>
      <c r="AG20" s="27">
        <v>310.89999999999998</v>
      </c>
      <c r="AH20" s="27">
        <f t="shared" si="8"/>
        <v>18343.099999999999</v>
      </c>
      <c r="AI20" s="35" t="s">
        <v>159</v>
      </c>
      <c r="AJ20" s="52">
        <f t="shared" si="9"/>
        <v>59</v>
      </c>
      <c r="AK20" s="45" t="str">
        <f t="shared" si="9"/>
        <v>Estudio 7</v>
      </c>
      <c r="AL20" s="45">
        <f t="shared" si="2"/>
        <v>10435.92</v>
      </c>
      <c r="AM20" s="44">
        <f t="shared" si="10"/>
        <v>1292.0999999999999</v>
      </c>
      <c r="AN20" s="53">
        <f t="shared" si="11"/>
        <v>0.6875</v>
      </c>
      <c r="AO20" s="45">
        <f t="shared" si="3"/>
        <v>1198.644</v>
      </c>
      <c r="AP20" s="44">
        <f t="shared" si="12"/>
        <v>18343.099999999999</v>
      </c>
      <c r="AQ20" s="44">
        <f t="shared" si="13"/>
        <v>15.303209293167946</v>
      </c>
    </row>
    <row r="21" spans="1:43" ht="15.75" thickBot="1">
      <c r="A21" s="17">
        <v>44</v>
      </c>
      <c r="B21" s="18" t="s">
        <v>160</v>
      </c>
      <c r="C21" s="17" t="s">
        <v>168</v>
      </c>
      <c r="D21" s="18">
        <v>9.86</v>
      </c>
      <c r="E21" s="18">
        <v>30</v>
      </c>
      <c r="F21" s="19"/>
      <c r="G21" s="18"/>
      <c r="H21" s="18">
        <v>4.5</v>
      </c>
      <c r="I21" s="18">
        <v>5.0999999999999996</v>
      </c>
      <c r="J21" s="18">
        <v>4.5</v>
      </c>
      <c r="K21" s="18"/>
      <c r="L21" s="18">
        <v>5</v>
      </c>
      <c r="M21" s="18"/>
      <c r="N21" s="17" t="s">
        <v>70</v>
      </c>
      <c r="O21" s="28">
        <v>250</v>
      </c>
      <c r="P21" s="26">
        <f t="shared" si="14"/>
        <v>44</v>
      </c>
      <c r="Q21" s="27">
        <f t="shared" si="0"/>
        <v>8.8000000000000007</v>
      </c>
      <c r="R21" s="80">
        <f t="shared" si="4"/>
        <v>8.8000000000000007</v>
      </c>
      <c r="S21" s="34">
        <f t="shared" si="1"/>
        <v>7.0400000000000009</v>
      </c>
      <c r="T21" s="29">
        <f t="shared" si="5"/>
        <v>44</v>
      </c>
      <c r="U21" s="83" t="s">
        <v>165</v>
      </c>
      <c r="V21" s="69" t="s">
        <v>140</v>
      </c>
      <c r="W21" s="69">
        <v>7.5</v>
      </c>
      <c r="X21" s="69">
        <v>68</v>
      </c>
      <c r="Y21" s="69"/>
      <c r="Z21" s="69"/>
      <c r="AA21" s="69" t="s">
        <v>135</v>
      </c>
      <c r="AB21" s="69" t="s">
        <v>147</v>
      </c>
      <c r="AC21" s="60">
        <v>26</v>
      </c>
      <c r="AD21" s="27">
        <f t="shared" si="6"/>
        <v>1.1439999999999999</v>
      </c>
      <c r="AE21" s="34">
        <f t="shared" si="7"/>
        <v>1144</v>
      </c>
      <c r="AF21" s="81"/>
      <c r="AG21" s="27">
        <v>318.7</v>
      </c>
      <c r="AH21" s="27">
        <f t="shared" si="8"/>
        <v>14022.8</v>
      </c>
      <c r="AJ21" s="52">
        <f t="shared" si="9"/>
        <v>44</v>
      </c>
      <c r="AK21" s="45" t="str">
        <f t="shared" si="9"/>
        <v>Estudio 16</v>
      </c>
      <c r="AL21" s="45">
        <f t="shared" si="2"/>
        <v>23701.920000000002</v>
      </c>
      <c r="AM21" s="44">
        <f t="shared" si="10"/>
        <v>2794.44</v>
      </c>
      <c r="AN21" s="53">
        <f t="shared" si="11"/>
        <v>0.83750000000000002</v>
      </c>
      <c r="AO21" s="45">
        <f t="shared" si="3"/>
        <v>2705.5248000000006</v>
      </c>
      <c r="AP21" s="44">
        <f t="shared" si="12"/>
        <v>14022.8</v>
      </c>
      <c r="AQ21" s="44">
        <f t="shared" si="13"/>
        <v>5.1830240107205805</v>
      </c>
    </row>
    <row r="22" spans="1:43" ht="15.75" thickBot="1">
      <c r="A22" s="17">
        <v>26</v>
      </c>
      <c r="B22" s="18" t="s">
        <v>161</v>
      </c>
      <c r="C22" s="18" t="s">
        <v>63</v>
      </c>
      <c r="D22" s="18">
        <v>10</v>
      </c>
      <c r="E22" s="18">
        <v>60</v>
      </c>
      <c r="F22" s="19">
        <v>5</v>
      </c>
      <c r="G22" s="18">
        <v>4.8</v>
      </c>
      <c r="H22" s="18">
        <v>6.85</v>
      </c>
      <c r="I22" s="18">
        <v>17.3</v>
      </c>
      <c r="J22" s="18">
        <v>6.85</v>
      </c>
      <c r="K22" s="18">
        <v>4.8</v>
      </c>
      <c r="L22" s="18">
        <v>2.5</v>
      </c>
      <c r="M22" s="17"/>
      <c r="N22" s="17" t="s">
        <v>70</v>
      </c>
      <c r="O22" s="28">
        <v>150</v>
      </c>
      <c r="P22" s="26">
        <f t="shared" si="14"/>
        <v>26</v>
      </c>
      <c r="Q22" s="27">
        <f t="shared" si="0"/>
        <v>3.12</v>
      </c>
      <c r="R22" s="80">
        <f t="shared" si="4"/>
        <v>3.12</v>
      </c>
      <c r="S22" s="34">
        <f t="shared" si="1"/>
        <v>2.4960000000000004</v>
      </c>
      <c r="T22" s="29">
        <f t="shared" si="5"/>
        <v>26</v>
      </c>
      <c r="U22" s="83" t="s">
        <v>166</v>
      </c>
      <c r="V22" s="69" t="s">
        <v>140</v>
      </c>
      <c r="W22" s="69">
        <v>8.3000000000000007</v>
      </c>
      <c r="X22" s="69">
        <v>45</v>
      </c>
      <c r="Y22" s="69"/>
      <c r="Z22" s="69"/>
      <c r="AA22" s="69" t="s">
        <v>135</v>
      </c>
      <c r="AB22" s="69" t="s">
        <v>169</v>
      </c>
      <c r="AC22" s="60">
        <v>122</v>
      </c>
      <c r="AD22" s="27">
        <f t="shared" si="6"/>
        <v>3.1720000000000002</v>
      </c>
      <c r="AE22" s="34">
        <f t="shared" si="7"/>
        <v>3172</v>
      </c>
      <c r="AF22" s="81"/>
      <c r="AG22" s="27">
        <v>589.5</v>
      </c>
      <c r="AH22" s="27">
        <f t="shared" si="8"/>
        <v>15327</v>
      </c>
      <c r="AJ22" s="52">
        <f t="shared" si="9"/>
        <v>26</v>
      </c>
      <c r="AK22" s="45" t="str">
        <f t="shared" si="9"/>
        <v>Estudio 17</v>
      </c>
      <c r="AL22" s="45">
        <f t="shared" si="2"/>
        <v>-2717.5199999999986</v>
      </c>
      <c r="AM22" s="44">
        <f t="shared" si="10"/>
        <v>-18.980000000000018</v>
      </c>
      <c r="AN22" s="53">
        <f t="shared" si="11"/>
        <v>-0.27083333333333326</v>
      </c>
      <c r="AO22" s="45">
        <f t="shared" si="3"/>
        <v>-274.0295999999999</v>
      </c>
      <c r="AP22" s="44">
        <f t="shared" si="12"/>
        <v>15327</v>
      </c>
      <c r="AQ22" s="44">
        <f t="shared" si="13"/>
        <v>-55.931913924627139</v>
      </c>
    </row>
    <row r="23" spans="1:43" ht="15.75" customHeight="1" thickBot="1">
      <c r="A23" s="131" t="s">
        <v>236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3"/>
      <c r="T23" s="134" t="s">
        <v>132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6"/>
      <c r="AF23" s="124"/>
    </row>
    <row r="24" spans="1:43" ht="52.5" customHeight="1" thickBot="1">
      <c r="A24" s="30" t="s">
        <v>0</v>
      </c>
      <c r="B24" s="31" t="s">
        <v>13</v>
      </c>
      <c r="C24" s="31" t="s">
        <v>14</v>
      </c>
      <c r="D24" s="31" t="s">
        <v>15</v>
      </c>
      <c r="E24" s="31" t="s">
        <v>16</v>
      </c>
      <c r="F24" s="31" t="s">
        <v>46</v>
      </c>
      <c r="G24" s="31" t="s">
        <v>47</v>
      </c>
      <c r="H24" s="31" t="s">
        <v>48</v>
      </c>
      <c r="I24" s="31" t="s">
        <v>45</v>
      </c>
      <c r="J24" s="31" t="s">
        <v>49</v>
      </c>
      <c r="K24" s="31" t="s">
        <v>50</v>
      </c>
      <c r="L24" s="31" t="s">
        <v>51</v>
      </c>
      <c r="M24" s="31" t="s">
        <v>44</v>
      </c>
      <c r="N24" s="31" t="s">
        <v>1</v>
      </c>
      <c r="O24" s="31" t="s">
        <v>2</v>
      </c>
      <c r="P24" s="2" t="s">
        <v>69</v>
      </c>
      <c r="Q24" s="2" t="s">
        <v>3</v>
      </c>
      <c r="R24" s="1" t="s">
        <v>237</v>
      </c>
      <c r="S24" s="2" t="s">
        <v>6</v>
      </c>
      <c r="T24" s="1" t="s">
        <v>0</v>
      </c>
      <c r="U24" s="2" t="s">
        <v>62</v>
      </c>
      <c r="V24" s="2" t="s">
        <v>37</v>
      </c>
      <c r="W24" s="2" t="s">
        <v>38</v>
      </c>
      <c r="X24" s="2" t="s">
        <v>39</v>
      </c>
      <c r="Y24" s="2" t="s">
        <v>40</v>
      </c>
      <c r="Z24" s="2" t="s">
        <v>41</v>
      </c>
      <c r="AA24" s="2" t="s">
        <v>42</v>
      </c>
      <c r="AB24" s="2" t="s">
        <v>43</v>
      </c>
      <c r="AC24" s="31" t="s">
        <v>2</v>
      </c>
      <c r="AD24" s="2" t="s">
        <v>3</v>
      </c>
      <c r="AE24" s="1" t="s">
        <v>5</v>
      </c>
      <c r="AF24" s="2" t="s">
        <v>6</v>
      </c>
      <c r="AG24" s="21" t="s">
        <v>104</v>
      </c>
      <c r="AH24" s="21" t="s">
        <v>105</v>
      </c>
      <c r="AJ24" s="1" t="str">
        <f>T24</f>
        <v>Nº PL</v>
      </c>
      <c r="AK24" s="1" t="s">
        <v>117</v>
      </c>
      <c r="AL24" s="1" t="s">
        <v>118</v>
      </c>
      <c r="AM24" s="1" t="s">
        <v>183</v>
      </c>
      <c r="AN24" s="1" t="s">
        <v>119</v>
      </c>
      <c r="AO24" s="1" t="s">
        <v>120</v>
      </c>
      <c r="AP24" s="1" t="s">
        <v>121</v>
      </c>
      <c r="AQ24" s="1" t="s">
        <v>122</v>
      </c>
    </row>
    <row r="25" spans="1:43" ht="15.75" thickBot="1">
      <c r="A25" s="17">
        <v>92</v>
      </c>
      <c r="B25" s="18" t="s">
        <v>162</v>
      </c>
      <c r="C25" s="18" t="s">
        <v>63</v>
      </c>
      <c r="D25" s="18">
        <v>10</v>
      </c>
      <c r="E25" s="18">
        <v>28</v>
      </c>
      <c r="F25" s="19">
        <v>2.6</v>
      </c>
      <c r="G25" s="18">
        <v>2.2999999999999998</v>
      </c>
      <c r="H25" s="18">
        <v>6</v>
      </c>
      <c r="I25" s="18">
        <v>4.5999999999999996</v>
      </c>
      <c r="J25" s="18">
        <v>6</v>
      </c>
      <c r="K25" s="18">
        <v>2.2999999999999998</v>
      </c>
      <c r="L25" s="18">
        <v>2.6</v>
      </c>
      <c r="M25" s="17"/>
      <c r="N25" s="17" t="s">
        <v>70</v>
      </c>
      <c r="O25" s="28">
        <v>250</v>
      </c>
      <c r="P25" s="26">
        <f t="shared" si="14"/>
        <v>92</v>
      </c>
      <c r="Q25" s="27">
        <f t="shared" ref="Q25:Q40" si="15">($N$44*O25*P25)/1000</f>
        <v>18.399999999999999</v>
      </c>
      <c r="R25" s="80">
        <f t="shared" si="4"/>
        <v>18.399999999999999</v>
      </c>
      <c r="S25" s="34">
        <f t="shared" ref="S25:S40" si="16">R25*$N$44</f>
        <v>14.719999999999999</v>
      </c>
      <c r="T25" s="29">
        <f t="shared" si="5"/>
        <v>92</v>
      </c>
      <c r="U25" s="83" t="s">
        <v>167</v>
      </c>
      <c r="V25" s="69" t="s">
        <v>140</v>
      </c>
      <c r="W25" s="69">
        <v>8.6999999999999993</v>
      </c>
      <c r="X25" s="69">
        <v>70</v>
      </c>
      <c r="Y25" s="69"/>
      <c r="Z25" s="69"/>
      <c r="AA25" s="69" t="s">
        <v>135</v>
      </c>
      <c r="AB25" s="69" t="s">
        <v>170</v>
      </c>
      <c r="AC25" s="60">
        <v>38</v>
      </c>
      <c r="AD25" s="27">
        <f t="shared" si="6"/>
        <v>3.496</v>
      </c>
      <c r="AE25" s="34">
        <f t="shared" si="7"/>
        <v>3496</v>
      </c>
      <c r="AF25" s="81"/>
      <c r="AG25" s="27">
        <v>350.45</v>
      </c>
      <c r="AH25" s="27">
        <f t="shared" si="8"/>
        <v>32241.399999999998</v>
      </c>
      <c r="AJ25" s="52">
        <f t="shared" si="9"/>
        <v>92</v>
      </c>
      <c r="AK25" s="45" t="str">
        <f t="shared" si="9"/>
        <v>Estudio 18</v>
      </c>
      <c r="AL25" s="45">
        <f t="shared" ref="AL25:AL40" si="17">(S25-AD25)*$AC$43</f>
        <v>45120.479999999996</v>
      </c>
      <c r="AM25" s="44">
        <f t="shared" si="10"/>
        <v>5439.9599999999991</v>
      </c>
      <c r="AN25" s="53">
        <f t="shared" si="11"/>
        <v>0.76249999999999996</v>
      </c>
      <c r="AO25" s="45">
        <f t="shared" ref="AO25:AO40" si="18">(AL25*$AL$48)+(AM25*$AL$49)</f>
        <v>5164.8431999999993</v>
      </c>
      <c r="AP25" s="44">
        <f t="shared" si="12"/>
        <v>32241.399999999998</v>
      </c>
      <c r="AQ25" s="44">
        <f t="shared" si="13"/>
        <v>6.2424741180913301</v>
      </c>
    </row>
    <row r="26" spans="1:43" ht="15.75" thickBot="1">
      <c r="A26" s="17">
        <v>7</v>
      </c>
      <c r="B26" s="18" t="s">
        <v>163</v>
      </c>
      <c r="C26" s="18" t="s">
        <v>61</v>
      </c>
      <c r="D26" s="18">
        <v>10</v>
      </c>
      <c r="E26" s="18">
        <v>29</v>
      </c>
      <c r="F26" s="19">
        <v>2.5</v>
      </c>
      <c r="G26" s="18">
        <v>3.1</v>
      </c>
      <c r="H26" s="18">
        <v>7.7</v>
      </c>
      <c r="I26" s="18"/>
      <c r="J26" s="18"/>
      <c r="K26" s="18"/>
      <c r="L26" s="18">
        <v>2.8</v>
      </c>
      <c r="M26" s="17"/>
      <c r="N26" s="17" t="s">
        <v>70</v>
      </c>
      <c r="O26" s="28">
        <v>250</v>
      </c>
      <c r="P26" s="26">
        <f t="shared" si="14"/>
        <v>7</v>
      </c>
      <c r="Q26" s="27">
        <f t="shared" si="15"/>
        <v>1.4</v>
      </c>
      <c r="R26" s="80">
        <f t="shared" si="4"/>
        <v>1.4</v>
      </c>
      <c r="S26" s="34">
        <f t="shared" si="16"/>
        <v>1.1199999999999999</v>
      </c>
      <c r="T26" s="29">
        <f t="shared" si="5"/>
        <v>7</v>
      </c>
      <c r="U26" s="83" t="s">
        <v>171</v>
      </c>
      <c r="V26" s="69" t="s">
        <v>140</v>
      </c>
      <c r="W26" s="69">
        <v>8.1</v>
      </c>
      <c r="X26" s="69">
        <v>73</v>
      </c>
      <c r="Y26" s="69"/>
      <c r="Z26" s="69"/>
      <c r="AA26" s="69" t="s">
        <v>135</v>
      </c>
      <c r="AB26" s="69" t="s">
        <v>172</v>
      </c>
      <c r="AC26" s="60">
        <v>51</v>
      </c>
      <c r="AD26" s="27">
        <f t="shared" si="6"/>
        <v>0.35699999999999998</v>
      </c>
      <c r="AE26" s="34">
        <f t="shared" si="7"/>
        <v>357</v>
      </c>
      <c r="AF26" s="81"/>
      <c r="AG26" s="27">
        <v>344.56</v>
      </c>
      <c r="AH26" s="27">
        <f t="shared" si="8"/>
        <v>2411.92</v>
      </c>
      <c r="AJ26" s="52">
        <f t="shared" si="9"/>
        <v>7</v>
      </c>
      <c r="AK26" s="45" t="str">
        <f t="shared" si="9"/>
        <v>Estudio 19</v>
      </c>
      <c r="AL26" s="45">
        <f t="shared" si="17"/>
        <v>3067.2599999999998</v>
      </c>
      <c r="AM26" s="44">
        <f t="shared" si="10"/>
        <v>380.69499999999999</v>
      </c>
      <c r="AN26" s="53">
        <f t="shared" si="11"/>
        <v>0.68124999999999991</v>
      </c>
      <c r="AO26" s="45">
        <f t="shared" si="18"/>
        <v>352.40940000000001</v>
      </c>
      <c r="AP26" s="44">
        <f t="shared" si="12"/>
        <v>2411.92</v>
      </c>
      <c r="AQ26" s="44">
        <f t="shared" si="13"/>
        <v>6.8440853166799753</v>
      </c>
    </row>
    <row r="27" spans="1:43" ht="15.75" thickBot="1">
      <c r="A27" s="17">
        <v>137</v>
      </c>
      <c r="B27" s="18" t="s">
        <v>164</v>
      </c>
      <c r="C27" s="18" t="s">
        <v>61</v>
      </c>
      <c r="D27" s="18">
        <v>10</v>
      </c>
      <c r="E27" s="18">
        <v>25</v>
      </c>
      <c r="F27" s="19">
        <v>2.5</v>
      </c>
      <c r="G27" s="18">
        <v>2.5</v>
      </c>
      <c r="H27" s="18">
        <v>6.5</v>
      </c>
      <c r="I27" s="18"/>
      <c r="J27" s="18"/>
      <c r="K27" s="18"/>
      <c r="L27" s="18">
        <v>2.5</v>
      </c>
      <c r="M27" s="17"/>
      <c r="N27" s="17" t="s">
        <v>70</v>
      </c>
      <c r="O27" s="28">
        <v>100</v>
      </c>
      <c r="P27" s="26">
        <f t="shared" si="14"/>
        <v>137</v>
      </c>
      <c r="Q27" s="27">
        <f t="shared" si="15"/>
        <v>10.96</v>
      </c>
      <c r="R27" s="80">
        <f t="shared" si="4"/>
        <v>10.96</v>
      </c>
      <c r="S27" s="34">
        <f t="shared" si="16"/>
        <v>8.7680000000000007</v>
      </c>
      <c r="T27" s="29">
        <f t="shared" si="5"/>
        <v>137</v>
      </c>
      <c r="U27" s="83" t="s">
        <v>173</v>
      </c>
      <c r="V27" s="69" t="s">
        <v>140</v>
      </c>
      <c r="W27" s="69">
        <v>8.8000000000000007</v>
      </c>
      <c r="X27" s="69">
        <v>80</v>
      </c>
      <c r="Y27" s="69"/>
      <c r="Z27" s="69"/>
      <c r="AA27" s="69" t="s">
        <v>135</v>
      </c>
      <c r="AB27" s="69" t="s">
        <v>174</v>
      </c>
      <c r="AC27" s="60">
        <v>38</v>
      </c>
      <c r="AD27" s="27">
        <f t="shared" si="6"/>
        <v>5.2060000000000004</v>
      </c>
      <c r="AE27" s="34">
        <f t="shared" si="7"/>
        <v>5206</v>
      </c>
      <c r="AF27" s="81"/>
      <c r="AG27" s="27">
        <v>251.4</v>
      </c>
      <c r="AH27" s="27">
        <f t="shared" si="8"/>
        <v>34441.800000000003</v>
      </c>
      <c r="AJ27" s="52">
        <f t="shared" si="9"/>
        <v>137</v>
      </c>
      <c r="AK27" s="45" t="str">
        <f t="shared" si="9"/>
        <v>Estudio 20</v>
      </c>
      <c r="AL27" s="45">
        <f t="shared" si="17"/>
        <v>14319.240000000002</v>
      </c>
      <c r="AM27" s="44">
        <f t="shared" si="10"/>
        <v>2100.21</v>
      </c>
      <c r="AN27" s="53">
        <f t="shared" si="11"/>
        <v>0.40625</v>
      </c>
      <c r="AO27" s="45">
        <f t="shared" si="18"/>
        <v>1683.9492000000002</v>
      </c>
      <c r="AP27" s="44">
        <f t="shared" si="12"/>
        <v>34441.800000000003</v>
      </c>
      <c r="AQ27" s="44">
        <f t="shared" si="13"/>
        <v>20.452992287415796</v>
      </c>
    </row>
    <row r="28" spans="1:43" ht="15.75" thickBot="1">
      <c r="A28" s="17">
        <v>68</v>
      </c>
      <c r="B28" s="18" t="s">
        <v>73</v>
      </c>
      <c r="C28" s="17" t="s">
        <v>61</v>
      </c>
      <c r="D28" s="17">
        <v>5.7</v>
      </c>
      <c r="E28" s="17">
        <v>25</v>
      </c>
      <c r="F28" s="20">
        <v>0.9</v>
      </c>
      <c r="G28" s="17"/>
      <c r="H28" s="17">
        <v>6</v>
      </c>
      <c r="I28" s="17"/>
      <c r="J28" s="17"/>
      <c r="K28" s="17"/>
      <c r="L28" s="17">
        <v>1</v>
      </c>
      <c r="M28" s="17"/>
      <c r="N28" s="17" t="str">
        <f>'[1]TABLA RESUMEN'!$W$389</f>
        <v>VS AP</v>
      </c>
      <c r="O28" s="28">
        <v>100</v>
      </c>
      <c r="P28" s="26">
        <f t="shared" si="14"/>
        <v>68</v>
      </c>
      <c r="Q28" s="27">
        <f t="shared" si="15"/>
        <v>5.44</v>
      </c>
      <c r="R28" s="80">
        <f t="shared" si="4"/>
        <v>5.44</v>
      </c>
      <c r="S28" s="34">
        <f t="shared" si="16"/>
        <v>4.3520000000000003</v>
      </c>
      <c r="T28" s="29">
        <f t="shared" si="5"/>
        <v>68</v>
      </c>
      <c r="U28" s="66" t="s">
        <v>146</v>
      </c>
      <c r="V28" s="60" t="s">
        <v>140</v>
      </c>
      <c r="W28" s="82">
        <v>8.9</v>
      </c>
      <c r="X28" s="60">
        <v>27</v>
      </c>
      <c r="Y28" s="60"/>
      <c r="Z28" s="60"/>
      <c r="AA28" s="60" t="s">
        <v>135</v>
      </c>
      <c r="AB28" s="60" t="s">
        <v>147</v>
      </c>
      <c r="AC28" s="60">
        <v>26</v>
      </c>
      <c r="AD28" s="27">
        <f t="shared" si="6"/>
        <v>1.768</v>
      </c>
      <c r="AE28" s="34">
        <f t="shared" si="7"/>
        <v>1768</v>
      </c>
      <c r="AF28" s="81"/>
      <c r="AG28" s="27">
        <v>314.8</v>
      </c>
      <c r="AH28" s="27">
        <f t="shared" si="8"/>
        <v>21406.400000000001</v>
      </c>
      <c r="AJ28" s="52">
        <f t="shared" si="9"/>
        <v>68</v>
      </c>
      <c r="AK28" s="45" t="str">
        <f t="shared" si="9"/>
        <v>Estudio 9</v>
      </c>
      <c r="AL28" s="45">
        <f t="shared" si="17"/>
        <v>10387.680000000002</v>
      </c>
      <c r="AM28" s="44">
        <f t="shared" si="10"/>
        <v>1340.2800000000002</v>
      </c>
      <c r="AN28" s="53">
        <f t="shared" si="11"/>
        <v>0.59375</v>
      </c>
      <c r="AO28" s="45">
        <f t="shared" si="18"/>
        <v>1199.6016000000002</v>
      </c>
      <c r="AP28" s="44">
        <f t="shared" si="12"/>
        <v>21406.400000000001</v>
      </c>
      <c r="AQ28" s="44">
        <f t="shared" si="13"/>
        <v>17.844591070902204</v>
      </c>
    </row>
    <row r="29" spans="1:43" ht="15.75" thickBot="1">
      <c r="A29" s="17">
        <v>27</v>
      </c>
      <c r="B29" s="18" t="s">
        <v>74</v>
      </c>
      <c r="C29" s="17" t="s">
        <v>61</v>
      </c>
      <c r="D29" s="17">
        <v>9.25</v>
      </c>
      <c r="E29" s="17">
        <v>24.15</v>
      </c>
      <c r="F29" s="20">
        <v>3</v>
      </c>
      <c r="G29" s="17"/>
      <c r="H29" s="17">
        <v>12.42</v>
      </c>
      <c r="I29" s="17"/>
      <c r="J29" s="17"/>
      <c r="K29" s="17"/>
      <c r="L29" s="17"/>
      <c r="M29" s="17"/>
      <c r="N29" s="17" t="str">
        <f>'[1]TABLA RESUMEN'!$W$389</f>
        <v>VS AP</v>
      </c>
      <c r="O29" s="28">
        <v>150</v>
      </c>
      <c r="P29" s="26">
        <f t="shared" si="14"/>
        <v>27</v>
      </c>
      <c r="Q29" s="27">
        <f t="shared" si="15"/>
        <v>3.24</v>
      </c>
      <c r="R29" s="80">
        <f t="shared" si="4"/>
        <v>3.24</v>
      </c>
      <c r="S29" s="34">
        <f t="shared" si="16"/>
        <v>2.5920000000000005</v>
      </c>
      <c r="T29" s="29">
        <f t="shared" si="5"/>
        <v>27</v>
      </c>
      <c r="U29" s="68" t="s">
        <v>144</v>
      </c>
      <c r="V29" s="60" t="s">
        <v>140</v>
      </c>
      <c r="W29" s="60">
        <v>9</v>
      </c>
      <c r="X29" s="60">
        <v>64</v>
      </c>
      <c r="Y29" s="60"/>
      <c r="Z29" s="60"/>
      <c r="AA29" s="60" t="s">
        <v>135</v>
      </c>
      <c r="AB29" s="60" t="s">
        <v>136</v>
      </c>
      <c r="AC29" s="60">
        <v>51</v>
      </c>
      <c r="AD29" s="27">
        <f t="shared" si="6"/>
        <v>1.377</v>
      </c>
      <c r="AE29" s="34">
        <f t="shared" si="7"/>
        <v>1377</v>
      </c>
      <c r="AF29" s="81"/>
      <c r="AG29" s="27">
        <v>344.56</v>
      </c>
      <c r="AH29" s="27">
        <f t="shared" si="8"/>
        <v>9303.1200000000008</v>
      </c>
      <c r="AJ29" s="52">
        <f t="shared" si="9"/>
        <v>27</v>
      </c>
      <c r="AK29" s="45" t="str">
        <f>U29</f>
        <v>Estudio 4</v>
      </c>
      <c r="AL29" s="45">
        <f t="shared" si="17"/>
        <v>4884.300000000002</v>
      </c>
      <c r="AM29" s="44">
        <f t="shared" si="10"/>
        <v>679.99500000000012</v>
      </c>
      <c r="AN29" s="53">
        <f t="shared" si="11"/>
        <v>0.46875000000000011</v>
      </c>
      <c r="AO29" s="45">
        <f t="shared" si="18"/>
        <v>570.02940000000024</v>
      </c>
      <c r="AP29" s="44">
        <f t="shared" si="12"/>
        <v>9303.1200000000008</v>
      </c>
      <c r="AQ29" s="44">
        <f t="shared" si="13"/>
        <v>16.320421367739975</v>
      </c>
    </row>
    <row r="30" spans="1:43" ht="15.75" thickBot="1">
      <c r="A30" s="17">
        <f>23+26+17</f>
        <v>66</v>
      </c>
      <c r="B30" s="18" t="s">
        <v>78</v>
      </c>
      <c r="C30" s="17"/>
      <c r="D30" s="17">
        <v>4.2</v>
      </c>
      <c r="E30" s="17">
        <v>15</v>
      </c>
      <c r="F30" s="20"/>
      <c r="G30" s="17"/>
      <c r="H30" s="17"/>
      <c r="I30" s="17"/>
      <c r="J30" s="17"/>
      <c r="K30" s="17"/>
      <c r="L30" s="17"/>
      <c r="M30" s="17"/>
      <c r="N30" s="17" t="s">
        <v>79</v>
      </c>
      <c r="O30" s="28">
        <v>100</v>
      </c>
      <c r="P30" s="26">
        <f t="shared" si="14"/>
        <v>66</v>
      </c>
      <c r="Q30" s="27">
        <f t="shared" si="15"/>
        <v>5.28</v>
      </c>
      <c r="R30" s="80">
        <f t="shared" si="4"/>
        <v>5.28</v>
      </c>
      <c r="S30" s="34">
        <f t="shared" si="16"/>
        <v>4.2240000000000002</v>
      </c>
      <c r="T30" s="29">
        <f t="shared" si="5"/>
        <v>66</v>
      </c>
      <c r="U30" s="60" t="s">
        <v>175</v>
      </c>
      <c r="V30" s="60" t="s">
        <v>140</v>
      </c>
      <c r="W30" s="60">
        <v>4.8</v>
      </c>
      <c r="X30" s="60">
        <v>51</v>
      </c>
      <c r="Y30" s="60"/>
      <c r="Z30" s="60"/>
      <c r="AA30" s="60" t="s">
        <v>135</v>
      </c>
      <c r="AB30" s="60" t="s">
        <v>176</v>
      </c>
      <c r="AC30" s="60">
        <v>26</v>
      </c>
      <c r="AD30" s="27">
        <f t="shared" si="6"/>
        <v>1.716</v>
      </c>
      <c r="AE30" s="34">
        <f t="shared" si="7"/>
        <v>1716</v>
      </c>
      <c r="AF30" s="81"/>
      <c r="AG30" s="27">
        <v>451.3</v>
      </c>
      <c r="AH30" s="27">
        <f t="shared" si="8"/>
        <v>29785.8</v>
      </c>
      <c r="AJ30" s="52">
        <f t="shared" si="9"/>
        <v>66</v>
      </c>
      <c r="AK30" s="45" t="str">
        <f t="shared" si="9"/>
        <v>Estudio 22</v>
      </c>
      <c r="AL30" s="45">
        <f t="shared" si="17"/>
        <v>10082.16</v>
      </c>
      <c r="AM30" s="44">
        <f t="shared" si="10"/>
        <v>1300.8600000000001</v>
      </c>
      <c r="AN30" s="53">
        <f t="shared" si="11"/>
        <v>0.59375</v>
      </c>
      <c r="AO30" s="45">
        <f t="shared" si="18"/>
        <v>1164.3191999999999</v>
      </c>
      <c r="AP30" s="44">
        <f t="shared" si="12"/>
        <v>29785.8</v>
      </c>
      <c r="AQ30" s="44">
        <f t="shared" si="13"/>
        <v>25.582159943767998</v>
      </c>
    </row>
    <row r="31" spans="1:43" ht="15.75" thickBot="1">
      <c r="A31" s="17">
        <v>38</v>
      </c>
      <c r="B31" s="18" t="s">
        <v>78</v>
      </c>
      <c r="C31" s="17"/>
      <c r="D31" s="17">
        <v>5</v>
      </c>
      <c r="E31" s="17">
        <v>5</v>
      </c>
      <c r="F31" s="20"/>
      <c r="G31" s="17"/>
      <c r="H31" s="17"/>
      <c r="I31" s="17"/>
      <c r="J31" s="17"/>
      <c r="K31" s="17"/>
      <c r="L31" s="17"/>
      <c r="M31" s="17"/>
      <c r="N31" s="17" t="s">
        <v>79</v>
      </c>
      <c r="O31" s="28">
        <v>70</v>
      </c>
      <c r="P31" s="26">
        <f t="shared" si="14"/>
        <v>38</v>
      </c>
      <c r="Q31" s="27">
        <f t="shared" si="15"/>
        <v>2.1280000000000001</v>
      </c>
      <c r="R31" s="80">
        <f t="shared" si="4"/>
        <v>2.1280000000000001</v>
      </c>
      <c r="S31" s="34">
        <f t="shared" si="16"/>
        <v>1.7024000000000001</v>
      </c>
      <c r="T31" s="29">
        <f t="shared" si="5"/>
        <v>38</v>
      </c>
      <c r="U31" s="60" t="s">
        <v>175</v>
      </c>
      <c r="V31" s="60" t="s">
        <v>140</v>
      </c>
      <c r="W31" s="60">
        <v>4.8</v>
      </c>
      <c r="X31" s="60">
        <v>51</v>
      </c>
      <c r="Y31" s="60"/>
      <c r="Z31" s="60"/>
      <c r="AA31" s="60" t="s">
        <v>135</v>
      </c>
      <c r="AB31" s="60" t="s">
        <v>176</v>
      </c>
      <c r="AC31" s="60">
        <v>26</v>
      </c>
      <c r="AD31" s="27">
        <f t="shared" si="6"/>
        <v>0.98799999999999999</v>
      </c>
      <c r="AE31" s="34">
        <f t="shared" si="7"/>
        <v>988</v>
      </c>
      <c r="AF31" s="81"/>
      <c r="AG31" s="27">
        <v>451.3</v>
      </c>
      <c r="AH31" s="27">
        <f t="shared" si="8"/>
        <v>17149.400000000001</v>
      </c>
      <c r="AJ31" s="52">
        <f t="shared" si="9"/>
        <v>38</v>
      </c>
      <c r="AK31" s="45" t="str">
        <f t="shared" si="9"/>
        <v>Estudio 22</v>
      </c>
      <c r="AL31" s="45">
        <f t="shared" si="17"/>
        <v>2871.8880000000004</v>
      </c>
      <c r="AM31" s="44">
        <f t="shared" si="10"/>
        <v>416.1</v>
      </c>
      <c r="AN31" s="53">
        <f t="shared" si="11"/>
        <v>0.41964285714285721</v>
      </c>
      <c r="AO31" s="45">
        <f t="shared" si="18"/>
        <v>337.12080000000009</v>
      </c>
      <c r="AP31" s="44">
        <f t="shared" si="12"/>
        <v>17149.400000000001</v>
      </c>
      <c r="AQ31" s="44">
        <f t="shared" si="13"/>
        <v>50.870192524460066</v>
      </c>
    </row>
    <row r="32" spans="1:43" ht="15.75" thickBot="1">
      <c r="A32" s="17">
        <f>52+7+33+15+11+31</f>
        <v>149</v>
      </c>
      <c r="B32" s="18" t="s">
        <v>78</v>
      </c>
      <c r="C32" s="17"/>
      <c r="D32" s="17">
        <v>4</v>
      </c>
      <c r="E32" s="17">
        <v>15</v>
      </c>
      <c r="F32" s="20"/>
      <c r="G32" s="17"/>
      <c r="H32" s="17"/>
      <c r="I32" s="17"/>
      <c r="J32" s="17"/>
      <c r="K32" s="17"/>
      <c r="L32" s="17"/>
      <c r="M32" s="17"/>
      <c r="N32" s="17" t="s">
        <v>70</v>
      </c>
      <c r="O32" s="28">
        <v>100</v>
      </c>
      <c r="P32" s="26">
        <f t="shared" si="14"/>
        <v>149</v>
      </c>
      <c r="Q32" s="27">
        <f t="shared" si="15"/>
        <v>11.92</v>
      </c>
      <c r="R32" s="80">
        <f t="shared" si="4"/>
        <v>11.92</v>
      </c>
      <c r="S32" s="34">
        <f t="shared" si="16"/>
        <v>9.5359999999999996</v>
      </c>
      <c r="T32" s="29">
        <f t="shared" si="5"/>
        <v>149</v>
      </c>
      <c r="U32" s="60" t="s">
        <v>175</v>
      </c>
      <c r="V32" s="60" t="s">
        <v>140</v>
      </c>
      <c r="W32" s="60">
        <v>4.8</v>
      </c>
      <c r="X32" s="60">
        <v>51</v>
      </c>
      <c r="Y32" s="60"/>
      <c r="Z32" s="60"/>
      <c r="AA32" s="60" t="s">
        <v>135</v>
      </c>
      <c r="AB32" s="60" t="s">
        <v>176</v>
      </c>
      <c r="AC32" s="60">
        <v>26</v>
      </c>
      <c r="AD32" s="27">
        <f t="shared" si="6"/>
        <v>3.8740000000000001</v>
      </c>
      <c r="AE32" s="34">
        <f t="shared" si="7"/>
        <v>3874</v>
      </c>
      <c r="AF32" s="81"/>
      <c r="AG32" s="27">
        <v>451.3</v>
      </c>
      <c r="AH32" s="27">
        <f t="shared" si="8"/>
        <v>67243.7</v>
      </c>
      <c r="AJ32" s="52">
        <f t="shared" si="9"/>
        <v>149</v>
      </c>
      <c r="AK32" s="45" t="str">
        <f t="shared" si="9"/>
        <v>Estudio 22</v>
      </c>
      <c r="AL32" s="45">
        <f t="shared" si="17"/>
        <v>22761.239999999994</v>
      </c>
      <c r="AM32" s="44">
        <f t="shared" si="10"/>
        <v>2936.79</v>
      </c>
      <c r="AN32" s="53">
        <f t="shared" si="11"/>
        <v>0.59375</v>
      </c>
      <c r="AO32" s="45">
        <f t="shared" si="18"/>
        <v>2628.5387999999994</v>
      </c>
      <c r="AP32" s="44">
        <f t="shared" si="12"/>
        <v>67243.7</v>
      </c>
      <c r="AQ32" s="44">
        <f t="shared" si="13"/>
        <v>25.582159943768001</v>
      </c>
    </row>
    <row r="33" spans="1:43" ht="15.75" thickBot="1">
      <c r="A33" s="17">
        <v>5</v>
      </c>
      <c r="B33" s="18" t="s">
        <v>78</v>
      </c>
      <c r="C33" s="17"/>
      <c r="D33" s="17">
        <v>8.8000000000000007</v>
      </c>
      <c r="E33" s="17">
        <v>25</v>
      </c>
      <c r="F33" s="20"/>
      <c r="G33" s="17"/>
      <c r="H33" s="17"/>
      <c r="I33" s="17"/>
      <c r="J33" s="17"/>
      <c r="K33" s="17"/>
      <c r="L33" s="17"/>
      <c r="M33" s="17"/>
      <c r="N33" s="17" t="s">
        <v>70</v>
      </c>
      <c r="O33" s="28">
        <v>70</v>
      </c>
      <c r="P33" s="26">
        <f t="shared" si="14"/>
        <v>5</v>
      </c>
      <c r="Q33" s="27">
        <f t="shared" si="15"/>
        <v>0.28000000000000003</v>
      </c>
      <c r="R33" s="80">
        <f t="shared" si="4"/>
        <v>0.28000000000000003</v>
      </c>
      <c r="S33" s="34">
        <f t="shared" si="16"/>
        <v>0.22400000000000003</v>
      </c>
      <c r="T33" s="29">
        <f t="shared" si="5"/>
        <v>5</v>
      </c>
      <c r="U33" s="84" t="s">
        <v>177</v>
      </c>
      <c r="V33" s="60" t="s">
        <v>140</v>
      </c>
      <c r="W33" s="60">
        <v>9.4</v>
      </c>
      <c r="X33" s="60">
        <v>64</v>
      </c>
      <c r="Y33" s="60"/>
      <c r="Z33" s="60"/>
      <c r="AA33" s="60" t="s">
        <v>135</v>
      </c>
      <c r="AB33" s="60" t="s">
        <v>178</v>
      </c>
      <c r="AC33" s="60">
        <v>51</v>
      </c>
      <c r="AD33" s="27">
        <f t="shared" si="6"/>
        <v>0.255</v>
      </c>
      <c r="AE33" s="34">
        <f t="shared" si="7"/>
        <v>255</v>
      </c>
      <c r="AF33" s="81"/>
      <c r="AG33" s="27">
        <v>356.6</v>
      </c>
      <c r="AH33" s="27">
        <f t="shared" si="8"/>
        <v>1783</v>
      </c>
      <c r="AJ33" s="52">
        <f t="shared" si="9"/>
        <v>5</v>
      </c>
      <c r="AK33" s="45" t="str">
        <f t="shared" si="9"/>
        <v>Estudio 23</v>
      </c>
      <c r="AL33" s="45">
        <f t="shared" si="17"/>
        <v>-124.61999999999989</v>
      </c>
      <c r="AM33" s="44">
        <f t="shared" si="10"/>
        <v>9.1250000000000089</v>
      </c>
      <c r="AN33" s="53">
        <f t="shared" si="11"/>
        <v>-0.13839285714285698</v>
      </c>
      <c r="AO33" s="45">
        <f t="shared" si="18"/>
        <v>-11.366999999999988</v>
      </c>
      <c r="AP33" s="44">
        <f t="shared" si="12"/>
        <v>1783</v>
      </c>
      <c r="AQ33" s="44">
        <f t="shared" si="13"/>
        <v>-156.85757015923303</v>
      </c>
    </row>
    <row r="34" spans="1:43" ht="15.75" thickBot="1">
      <c r="A34" s="17">
        <f>12</f>
        <v>12</v>
      </c>
      <c r="B34" s="18" t="s">
        <v>78</v>
      </c>
      <c r="C34" s="17"/>
      <c r="D34" s="17">
        <v>4.4000000000000004</v>
      </c>
      <c r="E34" s="17">
        <v>11</v>
      </c>
      <c r="F34" s="20"/>
      <c r="G34" s="17"/>
      <c r="H34" s="17"/>
      <c r="I34" s="17"/>
      <c r="J34" s="17"/>
      <c r="K34" s="17"/>
      <c r="L34" s="17"/>
      <c r="M34" s="17"/>
      <c r="N34" s="17" t="s">
        <v>80</v>
      </c>
      <c r="O34" s="28">
        <v>125</v>
      </c>
      <c r="P34" s="26">
        <f t="shared" si="14"/>
        <v>12</v>
      </c>
      <c r="Q34" s="27">
        <f t="shared" si="15"/>
        <v>1.2</v>
      </c>
      <c r="R34" s="80">
        <f t="shared" si="4"/>
        <v>1.2</v>
      </c>
      <c r="S34" s="34">
        <f t="shared" si="16"/>
        <v>0.96</v>
      </c>
      <c r="T34" s="29">
        <f t="shared" si="5"/>
        <v>12</v>
      </c>
      <c r="U34" s="60" t="s">
        <v>175</v>
      </c>
      <c r="V34" s="60" t="s">
        <v>140</v>
      </c>
      <c r="W34" s="60">
        <v>4.8</v>
      </c>
      <c r="X34" s="60">
        <v>51</v>
      </c>
      <c r="Y34" s="60"/>
      <c r="Z34" s="60"/>
      <c r="AA34" s="60" t="s">
        <v>135</v>
      </c>
      <c r="AB34" s="60" t="s">
        <v>176</v>
      </c>
      <c r="AC34" s="60">
        <v>26</v>
      </c>
      <c r="AD34" s="27">
        <f t="shared" si="6"/>
        <v>0.312</v>
      </c>
      <c r="AE34" s="34">
        <f t="shared" si="7"/>
        <v>312</v>
      </c>
      <c r="AF34" s="81"/>
      <c r="AG34" s="27">
        <v>451.3</v>
      </c>
      <c r="AH34" s="27">
        <f t="shared" si="8"/>
        <v>5415.6</v>
      </c>
      <c r="AJ34" s="52">
        <f t="shared" si="9"/>
        <v>12</v>
      </c>
      <c r="AK34" s="45" t="str">
        <f t="shared" si="9"/>
        <v>Estudio 22</v>
      </c>
      <c r="AL34" s="45">
        <f t="shared" si="17"/>
        <v>2604.9599999999996</v>
      </c>
      <c r="AM34" s="44">
        <f t="shared" si="10"/>
        <v>324.11999999999995</v>
      </c>
      <c r="AN34" s="53">
        <f t="shared" si="11"/>
        <v>0.67500000000000004</v>
      </c>
      <c r="AO34" s="45">
        <f t="shared" si="18"/>
        <v>299.3904</v>
      </c>
      <c r="AP34" s="44">
        <f t="shared" si="12"/>
        <v>5415.6</v>
      </c>
      <c r="AQ34" s="44">
        <f t="shared" si="13"/>
        <v>18.088756352909112</v>
      </c>
    </row>
    <row r="35" spans="1:43" ht="15.75" thickBot="1">
      <c r="A35" s="17">
        <v>21</v>
      </c>
      <c r="B35" s="18" t="s">
        <v>78</v>
      </c>
      <c r="C35" s="17"/>
      <c r="D35" s="17">
        <v>2.9</v>
      </c>
      <c r="E35" s="17">
        <v>10</v>
      </c>
      <c r="F35" s="20"/>
      <c r="G35" s="17"/>
      <c r="H35" s="17"/>
      <c r="I35" s="17"/>
      <c r="J35" s="17"/>
      <c r="K35" s="17"/>
      <c r="L35" s="17"/>
      <c r="M35" s="17"/>
      <c r="N35" s="17" t="s">
        <v>81</v>
      </c>
      <c r="O35" s="28">
        <v>100</v>
      </c>
      <c r="P35" s="26">
        <f t="shared" si="14"/>
        <v>21</v>
      </c>
      <c r="Q35" s="27">
        <f t="shared" si="15"/>
        <v>1.68</v>
      </c>
      <c r="R35" s="80">
        <f t="shared" si="4"/>
        <v>1.68</v>
      </c>
      <c r="S35" s="34">
        <f t="shared" si="16"/>
        <v>1.3440000000000001</v>
      </c>
      <c r="T35" s="29">
        <f t="shared" si="5"/>
        <v>21</v>
      </c>
      <c r="U35" s="84" t="s">
        <v>179</v>
      </c>
      <c r="V35" s="60" t="s">
        <v>140</v>
      </c>
      <c r="W35" s="60">
        <v>8.4</v>
      </c>
      <c r="X35" s="60">
        <v>37</v>
      </c>
      <c r="Y35" s="60"/>
      <c r="Z35" s="60"/>
      <c r="AA35" s="60" t="s">
        <v>135</v>
      </c>
      <c r="AB35" s="60" t="s">
        <v>180</v>
      </c>
      <c r="AC35" s="60">
        <v>20</v>
      </c>
      <c r="AD35" s="27">
        <f t="shared" si="6"/>
        <v>0.42</v>
      </c>
      <c r="AE35" s="34">
        <f t="shared" si="7"/>
        <v>420</v>
      </c>
      <c r="AF35" s="81"/>
      <c r="AG35" s="27">
        <v>451.3</v>
      </c>
      <c r="AH35" s="27">
        <f t="shared" si="8"/>
        <v>9477.3000000000011</v>
      </c>
      <c r="AJ35" s="52">
        <f t="shared" si="9"/>
        <v>21</v>
      </c>
      <c r="AK35" s="45" t="str">
        <f t="shared" si="9"/>
        <v>Estudio 21</v>
      </c>
      <c r="AL35" s="45">
        <f t="shared" si="17"/>
        <v>3714.4800000000005</v>
      </c>
      <c r="AM35" s="44">
        <f t="shared" si="10"/>
        <v>459.9</v>
      </c>
      <c r="AN35" s="53">
        <f t="shared" si="11"/>
        <v>0.6875</v>
      </c>
      <c r="AO35" s="45">
        <f t="shared" si="18"/>
        <v>426.63600000000008</v>
      </c>
      <c r="AP35" s="44">
        <f t="shared" si="12"/>
        <v>9477.3000000000011</v>
      </c>
      <c r="AQ35" s="44">
        <f t="shared" si="13"/>
        <v>22.214018507580231</v>
      </c>
    </row>
    <row r="36" spans="1:43" ht="15.75" thickBot="1">
      <c r="A36" s="17">
        <f>20+16+6+3+5+5+15</f>
        <v>70</v>
      </c>
      <c r="B36" s="18" t="s">
        <v>82</v>
      </c>
      <c r="C36" s="17"/>
      <c r="D36" s="17">
        <v>3.5</v>
      </c>
      <c r="E36" s="17">
        <v>15</v>
      </c>
      <c r="F36" s="20"/>
      <c r="G36" s="17"/>
      <c r="H36" s="17"/>
      <c r="I36" s="17"/>
      <c r="J36" s="17"/>
      <c r="K36" s="17"/>
      <c r="L36" s="17"/>
      <c r="M36" s="17"/>
      <c r="N36" s="17" t="s">
        <v>70</v>
      </c>
      <c r="O36" s="28">
        <v>100</v>
      </c>
      <c r="P36" s="26">
        <f t="shared" si="14"/>
        <v>70</v>
      </c>
      <c r="Q36" s="27">
        <f t="shared" si="15"/>
        <v>5.6</v>
      </c>
      <c r="R36" s="80">
        <f t="shared" si="4"/>
        <v>5.6</v>
      </c>
      <c r="S36" s="34">
        <f t="shared" si="16"/>
        <v>4.4799999999999995</v>
      </c>
      <c r="T36" s="29">
        <f t="shared" si="5"/>
        <v>70</v>
      </c>
      <c r="U36" s="84" t="s">
        <v>179</v>
      </c>
      <c r="V36" s="60" t="s">
        <v>140</v>
      </c>
      <c r="W36" s="60">
        <v>8.4</v>
      </c>
      <c r="X36" s="60">
        <v>37</v>
      </c>
      <c r="Y36" s="60"/>
      <c r="Z36" s="60"/>
      <c r="AA36" s="60" t="s">
        <v>135</v>
      </c>
      <c r="AB36" s="60" t="s">
        <v>180</v>
      </c>
      <c r="AC36" s="60">
        <v>20</v>
      </c>
      <c r="AD36" s="27">
        <f t="shared" si="6"/>
        <v>1.4</v>
      </c>
      <c r="AE36" s="34">
        <f t="shared" si="7"/>
        <v>1400</v>
      </c>
      <c r="AF36" s="81"/>
      <c r="AG36" s="27">
        <v>451.3</v>
      </c>
      <c r="AH36" s="27">
        <f t="shared" si="8"/>
        <v>31591</v>
      </c>
      <c r="AJ36" s="52">
        <f t="shared" si="9"/>
        <v>70</v>
      </c>
      <c r="AK36" s="45" t="str">
        <f t="shared" si="9"/>
        <v>Estudio 21</v>
      </c>
      <c r="AL36" s="45">
        <f t="shared" si="17"/>
        <v>12381.599999999999</v>
      </c>
      <c r="AM36" s="44">
        <f t="shared" si="10"/>
        <v>1532.9999999999998</v>
      </c>
      <c r="AN36" s="53">
        <f t="shared" si="11"/>
        <v>0.6875</v>
      </c>
      <c r="AO36" s="45">
        <f t="shared" si="18"/>
        <v>1422.12</v>
      </c>
      <c r="AP36" s="44">
        <f t="shared" si="12"/>
        <v>31591</v>
      </c>
      <c r="AQ36" s="44">
        <f t="shared" si="13"/>
        <v>22.214018507580235</v>
      </c>
    </row>
    <row r="37" spans="1:43" ht="15.75" thickBot="1">
      <c r="A37" s="17">
        <v>4</v>
      </c>
      <c r="B37" s="18" t="s">
        <v>82</v>
      </c>
      <c r="C37" s="17"/>
      <c r="D37" s="17">
        <v>6.8</v>
      </c>
      <c r="E37" s="17">
        <v>10</v>
      </c>
      <c r="F37" s="20"/>
      <c r="G37" s="17"/>
      <c r="H37" s="17"/>
      <c r="I37" s="17"/>
      <c r="J37" s="17"/>
      <c r="K37" s="17"/>
      <c r="L37" s="17"/>
      <c r="M37" s="17"/>
      <c r="N37" s="17" t="s">
        <v>70</v>
      </c>
      <c r="O37" s="28">
        <v>70</v>
      </c>
      <c r="P37" s="26">
        <f t="shared" si="14"/>
        <v>4</v>
      </c>
      <c r="Q37" s="27">
        <f t="shared" si="15"/>
        <v>0.224</v>
      </c>
      <c r="R37" s="80">
        <f t="shared" si="4"/>
        <v>0.224</v>
      </c>
      <c r="S37" s="34">
        <f t="shared" si="16"/>
        <v>0.17920000000000003</v>
      </c>
      <c r="T37" s="29">
        <f t="shared" si="5"/>
        <v>4</v>
      </c>
      <c r="U37" s="84" t="s">
        <v>181</v>
      </c>
      <c r="V37" s="60" t="s">
        <v>140</v>
      </c>
      <c r="W37" s="60">
        <v>7.5</v>
      </c>
      <c r="X37" s="60">
        <v>45</v>
      </c>
      <c r="Y37" s="60"/>
      <c r="Z37" s="60"/>
      <c r="AA37" s="60" t="s">
        <v>135</v>
      </c>
      <c r="AB37" s="60" t="s">
        <v>182</v>
      </c>
      <c r="AC37" s="60">
        <v>26</v>
      </c>
      <c r="AD37" s="27">
        <f t="shared" si="6"/>
        <v>0.104</v>
      </c>
      <c r="AE37" s="34">
        <f t="shared" si="7"/>
        <v>104</v>
      </c>
      <c r="AF37" s="81"/>
      <c r="AG37" s="27">
        <v>319.39999999999998</v>
      </c>
      <c r="AH37" s="27">
        <f t="shared" si="8"/>
        <v>1277.5999999999999</v>
      </c>
      <c r="AJ37" s="52">
        <f t="shared" si="9"/>
        <v>4</v>
      </c>
      <c r="AK37" s="45" t="str">
        <f t="shared" si="9"/>
        <v>Estudio 24</v>
      </c>
      <c r="AL37" s="45">
        <f t="shared" si="17"/>
        <v>302.30400000000014</v>
      </c>
      <c r="AM37" s="44">
        <f t="shared" si="10"/>
        <v>43.800000000000004</v>
      </c>
      <c r="AN37" s="53">
        <f t="shared" si="11"/>
        <v>0.41964285714285721</v>
      </c>
      <c r="AO37" s="45">
        <f t="shared" si="18"/>
        <v>35.486400000000017</v>
      </c>
      <c r="AP37" s="44">
        <f t="shared" si="12"/>
        <v>1277.5999999999999</v>
      </c>
      <c r="AQ37" s="44">
        <f t="shared" si="13"/>
        <v>36.002524910951784</v>
      </c>
    </row>
    <row r="38" spans="1:43" ht="15.75" thickBot="1">
      <c r="A38" s="17">
        <v>12</v>
      </c>
      <c r="B38" s="18" t="s">
        <v>82</v>
      </c>
      <c r="C38" s="17"/>
      <c r="D38" s="17">
        <v>4</v>
      </c>
      <c r="E38" s="17">
        <v>17</v>
      </c>
      <c r="F38" s="20"/>
      <c r="G38" s="17"/>
      <c r="H38" s="17"/>
      <c r="I38" s="17"/>
      <c r="J38" s="17"/>
      <c r="K38" s="17"/>
      <c r="L38" s="17"/>
      <c r="M38" s="17"/>
      <c r="N38" s="17" t="s">
        <v>70</v>
      </c>
      <c r="O38" s="28">
        <v>150</v>
      </c>
      <c r="P38" s="26">
        <f t="shared" si="14"/>
        <v>12</v>
      </c>
      <c r="Q38" s="27">
        <f t="shared" si="15"/>
        <v>1.44</v>
      </c>
      <c r="R38" s="80">
        <f t="shared" si="4"/>
        <v>1.44</v>
      </c>
      <c r="S38" s="34">
        <f t="shared" si="16"/>
        <v>1.1519999999999999</v>
      </c>
      <c r="T38" s="29">
        <f t="shared" si="5"/>
        <v>12</v>
      </c>
      <c r="U38" s="60" t="s">
        <v>175</v>
      </c>
      <c r="V38" s="60" t="s">
        <v>140</v>
      </c>
      <c r="W38" s="60">
        <v>4.8</v>
      </c>
      <c r="X38" s="60">
        <v>51</v>
      </c>
      <c r="Y38" s="60"/>
      <c r="Z38" s="60"/>
      <c r="AA38" s="60" t="s">
        <v>135</v>
      </c>
      <c r="AB38" s="60" t="s">
        <v>176</v>
      </c>
      <c r="AC38" s="60">
        <v>26</v>
      </c>
      <c r="AD38" s="27">
        <f t="shared" si="6"/>
        <v>0.312</v>
      </c>
      <c r="AE38" s="34">
        <f t="shared" si="7"/>
        <v>312</v>
      </c>
      <c r="AF38" s="81"/>
      <c r="AG38" s="27">
        <v>451.3</v>
      </c>
      <c r="AH38" s="27">
        <f t="shared" si="8"/>
        <v>5415.6</v>
      </c>
      <c r="AJ38" s="52">
        <f t="shared" si="9"/>
        <v>12</v>
      </c>
      <c r="AK38" s="45" t="str">
        <f t="shared" si="9"/>
        <v>Estudio 22</v>
      </c>
      <c r="AL38" s="45">
        <f t="shared" si="17"/>
        <v>3376.7999999999993</v>
      </c>
      <c r="AM38" s="44">
        <f t="shared" si="10"/>
        <v>411.71999999999997</v>
      </c>
      <c r="AN38" s="53">
        <f t="shared" si="11"/>
        <v>0.72916666666666663</v>
      </c>
      <c r="AO38" s="45">
        <f t="shared" si="18"/>
        <v>387.08639999999997</v>
      </c>
      <c r="AP38" s="44">
        <f t="shared" si="12"/>
        <v>5415.6</v>
      </c>
      <c r="AQ38" s="44">
        <f t="shared" si="13"/>
        <v>13.990674950088664</v>
      </c>
    </row>
    <row r="39" spans="1:43" ht="15.75" thickBot="1">
      <c r="A39" s="17">
        <v>5</v>
      </c>
      <c r="B39" s="18" t="s">
        <v>82</v>
      </c>
      <c r="C39" s="17"/>
      <c r="D39" s="17">
        <v>2.4</v>
      </c>
      <c r="E39" s="17">
        <v>21</v>
      </c>
      <c r="F39" s="20"/>
      <c r="G39" s="17"/>
      <c r="H39" s="17"/>
      <c r="I39" s="17"/>
      <c r="J39" s="17"/>
      <c r="K39" s="17"/>
      <c r="L39" s="17"/>
      <c r="M39" s="17"/>
      <c r="N39" s="17" t="s">
        <v>81</v>
      </c>
      <c r="O39" s="28">
        <v>100</v>
      </c>
      <c r="P39" s="26">
        <f t="shared" si="14"/>
        <v>5</v>
      </c>
      <c r="Q39" s="27">
        <f t="shared" si="15"/>
        <v>0.4</v>
      </c>
      <c r="R39" s="80">
        <f t="shared" si="4"/>
        <v>0.4</v>
      </c>
      <c r="S39" s="34">
        <f t="shared" si="16"/>
        <v>0.32000000000000006</v>
      </c>
      <c r="T39" s="29">
        <f t="shared" si="5"/>
        <v>5</v>
      </c>
      <c r="U39" s="84" t="s">
        <v>179</v>
      </c>
      <c r="V39" s="60" t="s">
        <v>140</v>
      </c>
      <c r="W39" s="60">
        <v>8.4</v>
      </c>
      <c r="X39" s="60">
        <v>37</v>
      </c>
      <c r="Y39" s="60"/>
      <c r="Z39" s="60"/>
      <c r="AA39" s="60" t="s">
        <v>135</v>
      </c>
      <c r="AB39" s="60" t="s">
        <v>180</v>
      </c>
      <c r="AC39" s="60">
        <v>20</v>
      </c>
      <c r="AD39" s="27">
        <f t="shared" si="6"/>
        <v>0.1</v>
      </c>
      <c r="AE39" s="34">
        <f t="shared" si="7"/>
        <v>100</v>
      </c>
      <c r="AF39" s="81"/>
      <c r="AG39" s="27">
        <v>430.4</v>
      </c>
      <c r="AH39" s="27">
        <f t="shared" si="8"/>
        <v>2152</v>
      </c>
      <c r="AJ39" s="52">
        <f t="shared" si="9"/>
        <v>5</v>
      </c>
      <c r="AK39" s="45" t="str">
        <f t="shared" si="9"/>
        <v>Estudio 21</v>
      </c>
      <c r="AL39" s="45">
        <f t="shared" si="17"/>
        <v>884.4000000000002</v>
      </c>
      <c r="AM39" s="44">
        <f t="shared" si="10"/>
        <v>109.50000000000001</v>
      </c>
      <c r="AN39" s="53">
        <f t="shared" si="11"/>
        <v>0.6875</v>
      </c>
      <c r="AO39" s="45">
        <f t="shared" si="18"/>
        <v>101.58000000000003</v>
      </c>
      <c r="AP39" s="44">
        <f t="shared" si="12"/>
        <v>2152</v>
      </c>
      <c r="AQ39" s="44">
        <f t="shared" si="13"/>
        <v>21.185272691474694</v>
      </c>
    </row>
    <row r="40" spans="1:43" ht="15.75" thickBot="1">
      <c r="A40" s="17">
        <f>38+4</f>
        <v>42</v>
      </c>
      <c r="B40" s="18" t="s">
        <v>82</v>
      </c>
      <c r="C40" s="17"/>
      <c r="D40" s="17">
        <v>3.6</v>
      </c>
      <c r="E40" s="17">
        <v>14</v>
      </c>
      <c r="F40" s="20"/>
      <c r="G40" s="17"/>
      <c r="H40" s="17"/>
      <c r="I40" s="17"/>
      <c r="J40" s="17"/>
      <c r="K40" s="17"/>
      <c r="L40" s="17"/>
      <c r="M40" s="17"/>
      <c r="N40" s="17" t="s">
        <v>80</v>
      </c>
      <c r="O40" s="28">
        <v>125</v>
      </c>
      <c r="P40" s="26">
        <f t="shared" si="14"/>
        <v>42</v>
      </c>
      <c r="Q40" s="27">
        <f t="shared" si="15"/>
        <v>4.2</v>
      </c>
      <c r="R40" s="80">
        <f t="shared" si="4"/>
        <v>4.2</v>
      </c>
      <c r="S40" s="34">
        <f t="shared" si="16"/>
        <v>3.3600000000000003</v>
      </c>
      <c r="T40" s="29">
        <f t="shared" si="5"/>
        <v>42</v>
      </c>
      <c r="U40" s="84" t="s">
        <v>179</v>
      </c>
      <c r="V40" s="60" t="s">
        <v>140</v>
      </c>
      <c r="W40" s="60">
        <v>8.4</v>
      </c>
      <c r="X40" s="60">
        <v>37</v>
      </c>
      <c r="Y40" s="60"/>
      <c r="Z40" s="60"/>
      <c r="AA40" s="60" t="s">
        <v>135</v>
      </c>
      <c r="AB40" s="60" t="s">
        <v>180</v>
      </c>
      <c r="AC40" s="60">
        <v>20</v>
      </c>
      <c r="AD40" s="27">
        <f t="shared" si="6"/>
        <v>0.84</v>
      </c>
      <c r="AE40" s="34">
        <f t="shared" si="7"/>
        <v>840</v>
      </c>
      <c r="AF40" s="81"/>
      <c r="AG40" s="27">
        <v>430.4</v>
      </c>
      <c r="AH40" s="27">
        <f t="shared" si="8"/>
        <v>18076.8</v>
      </c>
      <c r="AJ40" s="52">
        <f t="shared" si="9"/>
        <v>42</v>
      </c>
      <c r="AK40" s="45" t="str">
        <f t="shared" si="9"/>
        <v>Estudio 21</v>
      </c>
      <c r="AL40" s="45">
        <f t="shared" si="17"/>
        <v>10130.400000000001</v>
      </c>
      <c r="AM40" s="44">
        <f t="shared" si="10"/>
        <v>1226.4000000000001</v>
      </c>
      <c r="AN40" s="53">
        <f t="shared" si="11"/>
        <v>0.75</v>
      </c>
      <c r="AO40" s="45">
        <f t="shared" si="18"/>
        <v>1160.2080000000001</v>
      </c>
      <c r="AP40" s="44">
        <f t="shared" si="12"/>
        <v>18076.8</v>
      </c>
      <c r="AQ40" s="44">
        <f t="shared" si="13"/>
        <v>15.580654503330436</v>
      </c>
    </row>
    <row r="41" spans="1:43" ht="15.75" thickBot="1">
      <c r="A41" s="70">
        <f>SUM(A5:A40)</f>
        <v>4371</v>
      </c>
      <c r="B41" s="70"/>
      <c r="C41" s="70"/>
      <c r="D41" s="70"/>
      <c r="E41" s="70"/>
      <c r="F41" s="85"/>
      <c r="G41" s="70"/>
      <c r="H41" s="70"/>
      <c r="I41" s="70"/>
      <c r="J41" s="86"/>
      <c r="K41" s="70"/>
      <c r="L41" s="70"/>
      <c r="M41" s="70"/>
      <c r="N41" s="32"/>
      <c r="O41" s="32" t="s">
        <v>238</v>
      </c>
      <c r="P41" s="33">
        <f>SUM(P5:P40)</f>
        <v>4371</v>
      </c>
      <c r="Q41" s="42">
        <f>SUM(Q5:Q40)</f>
        <v>523.74400000000003</v>
      </c>
      <c r="R41" s="80">
        <f>SUM(R5:R40)</f>
        <v>523.74400000000003</v>
      </c>
      <c r="S41" s="34">
        <f>SUM(S5:S40)</f>
        <v>418.99519999999995</v>
      </c>
      <c r="T41" s="61">
        <f>SUM(T5:T15)</f>
        <v>2608</v>
      </c>
      <c r="U41" s="61"/>
      <c r="V41" s="61"/>
      <c r="W41" s="61"/>
      <c r="X41" s="61"/>
      <c r="Y41" s="61"/>
      <c r="Z41" s="61"/>
      <c r="AA41" s="61"/>
      <c r="AB41" s="61"/>
      <c r="AC41" s="61" t="s">
        <v>238</v>
      </c>
      <c r="AD41" s="42">
        <f>SUM(AD5:AD40)</f>
        <v>156.53400000000005</v>
      </c>
      <c r="AE41" s="34">
        <f>SUM(AE5:AE40)</f>
        <v>156534</v>
      </c>
      <c r="AF41" s="81">
        <f>SUM(AF5:AF15)</f>
        <v>0</v>
      </c>
      <c r="AG41" s="42"/>
      <c r="AH41" s="42">
        <f>SUM(AH5:AH40)</f>
        <v>1511614.36</v>
      </c>
      <c r="AJ41" s="54">
        <f>SUM(AJ5:AJ40)</f>
        <v>4371</v>
      </c>
      <c r="AK41" s="55" t="s">
        <v>98</v>
      </c>
      <c r="AL41" s="71">
        <f>SUM(AL5:AL40)</f>
        <v>1055094.0240000002</v>
      </c>
      <c r="AM41" s="71">
        <f>SUM(AM5:AM40)</f>
        <v>134031.65</v>
      </c>
      <c r="AN41" s="72">
        <f>AVERAGE(AN5:AN40)</f>
        <v>0.56897321428571435</v>
      </c>
      <c r="AO41" s="56">
        <f>SUM(AO5:AO40)</f>
        <v>121593.20040000002</v>
      </c>
      <c r="AP41" s="56">
        <f>SUM(AP5:AP40)</f>
        <v>1511614.36</v>
      </c>
      <c r="AQ41" s="57">
        <f t="shared" si="13"/>
        <v>12.431734299511044</v>
      </c>
    </row>
    <row r="42" spans="1:43" ht="15.75" thickBo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70" t="s">
        <v>7</v>
      </c>
      <c r="N42" s="74">
        <f>AL48</f>
        <v>0.1</v>
      </c>
      <c r="O42" s="87"/>
      <c r="P42" s="8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70" t="s">
        <v>7</v>
      </c>
      <c r="AC42" s="74">
        <f>AL48</f>
        <v>0.1</v>
      </c>
      <c r="AD42" s="89"/>
      <c r="AE42" s="24"/>
      <c r="AF42" s="24"/>
    </row>
    <row r="43" spans="1:43" ht="15.75" thickBo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70" t="s">
        <v>10</v>
      </c>
      <c r="N43" s="34">
        <v>4020</v>
      </c>
      <c r="O43" s="87"/>
      <c r="P43" s="8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70" t="s">
        <v>10</v>
      </c>
      <c r="AC43" s="34">
        <v>4020</v>
      </c>
      <c r="AD43" s="89"/>
      <c r="AE43" s="24"/>
      <c r="AF43" s="24"/>
    </row>
    <row r="44" spans="1:43" ht="15.75" thickBo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70" t="s">
        <v>12</v>
      </c>
      <c r="N44" s="34">
        <v>0.8</v>
      </c>
      <c r="O44" s="87"/>
      <c r="P44" s="8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70" t="s">
        <v>12</v>
      </c>
      <c r="AC44" s="34"/>
      <c r="AD44" s="89"/>
      <c r="AE44" s="24"/>
      <c r="AF44" s="24"/>
    </row>
    <row r="45" spans="1:43" ht="23.25" thickBo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70" t="s">
        <v>11</v>
      </c>
      <c r="N45" s="34">
        <v>0</v>
      </c>
      <c r="O45" s="87" t="s">
        <v>189</v>
      </c>
      <c r="P45" s="8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70" t="s">
        <v>11</v>
      </c>
      <c r="AC45" s="34"/>
      <c r="AD45" s="89"/>
      <c r="AE45" s="24"/>
      <c r="AF45" s="24"/>
      <c r="AK45" s="126" t="s">
        <v>106</v>
      </c>
      <c r="AL45" s="128" t="e">
        <f>O46-AC46</f>
        <v>#VALUE!</v>
      </c>
      <c r="AM45" s="113"/>
    </row>
    <row r="46" spans="1:43" ht="22.5" customHeight="1" thickBo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70" t="s">
        <v>186</v>
      </c>
      <c r="N46" s="46" t="e">
        <f>N42*(O41*N43)/1000</f>
        <v>#VALUE!</v>
      </c>
      <c r="O46" s="87" t="e">
        <f>N46*N44</f>
        <v>#VALUE!</v>
      </c>
      <c r="P46" s="88"/>
      <c r="Q46" s="24">
        <f>S41*N43</f>
        <v>1684360.7039999999</v>
      </c>
      <c r="R46" s="95">
        <f>Q46*N42</f>
        <v>168436.0704</v>
      </c>
      <c r="S46" s="24"/>
      <c r="T46" s="24"/>
      <c r="U46" s="24"/>
      <c r="V46" s="24"/>
      <c r="W46" s="24"/>
      <c r="X46" s="24"/>
      <c r="Y46" s="24"/>
      <c r="Z46" s="24"/>
      <c r="AA46" s="24"/>
      <c r="AB46" s="70" t="s">
        <v>8</v>
      </c>
      <c r="AC46" s="46">
        <f>AC42*(AE41*AC43+AE41*AC44*AC45)/1000</f>
        <v>62926.667999999998</v>
      </c>
      <c r="AD46" s="89"/>
      <c r="AE46" s="24">
        <f>AD41*AC43</f>
        <v>629266.68000000017</v>
      </c>
      <c r="AF46" s="24"/>
      <c r="AK46" s="126"/>
      <c r="AL46" s="128"/>
      <c r="AM46" s="113"/>
    </row>
    <row r="47" spans="1:43" ht="31.5" customHeight="1" thickBo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70" t="s">
        <v>187</v>
      </c>
      <c r="N47" s="73">
        <f>Q41*365*AL49</f>
        <v>22939.9872</v>
      </c>
      <c r="O47" s="87"/>
      <c r="P47" s="88"/>
      <c r="Q47" s="24">
        <f>R41*365</f>
        <v>191166.56</v>
      </c>
      <c r="R47" s="24">
        <f>Q47*AL49</f>
        <v>22939.9872</v>
      </c>
      <c r="S47" s="24"/>
      <c r="T47" s="24"/>
      <c r="U47" s="24"/>
      <c r="V47" s="24"/>
      <c r="W47" s="24"/>
      <c r="X47" s="24"/>
      <c r="Y47" s="24"/>
      <c r="Z47" s="24"/>
      <c r="AA47" s="24"/>
      <c r="AB47" s="70" t="s">
        <v>187</v>
      </c>
      <c r="AC47" s="73">
        <f>AD41*365*AL49</f>
        <v>6856.1892000000016</v>
      </c>
      <c r="AD47" s="89"/>
      <c r="AE47" s="24"/>
      <c r="AF47" s="24"/>
      <c r="AK47" s="112" t="s">
        <v>185</v>
      </c>
      <c r="AL47" s="113">
        <f>N47-AC47</f>
        <v>16083.797999999999</v>
      </c>
      <c r="AM47" s="113"/>
    </row>
    <row r="48" spans="1:4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87"/>
      <c r="P48" s="88"/>
      <c r="Q48" s="24"/>
      <c r="R48" s="95">
        <f>SUM(R46:R47)</f>
        <v>191376.0576</v>
      </c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K48" s="35" t="s">
        <v>188</v>
      </c>
      <c r="AL48" s="113">
        <v>0.1</v>
      </c>
    </row>
    <row r="49" spans="1:51" ht="23.25" thickBo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70" t="s">
        <v>190</v>
      </c>
      <c r="N49" s="24"/>
      <c r="O49" s="87"/>
      <c r="P49" s="88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K49" s="35" t="s">
        <v>184</v>
      </c>
      <c r="AL49" s="35">
        <v>0.12</v>
      </c>
    </row>
    <row r="50" spans="1:51" ht="15.75" thickBo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95" t="e">
        <f>N46+N47</f>
        <v>#VALUE!</v>
      </c>
      <c r="O50" s="87"/>
      <c r="P50" s="88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R50" s="47" t="s">
        <v>107</v>
      </c>
      <c r="AS50" s="48">
        <f>AP41</f>
        <v>1511614.36</v>
      </c>
    </row>
    <row r="51" spans="1:51" ht="15.75" thickBo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87"/>
      <c r="P51" s="88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R51" s="47" t="s">
        <v>110</v>
      </c>
      <c r="AS51" s="49">
        <v>4020</v>
      </c>
    </row>
    <row r="52" spans="1:51" ht="15.75" thickBot="1">
      <c r="AR52" s="47" t="s">
        <v>108</v>
      </c>
      <c r="AS52" s="49">
        <v>100000</v>
      </c>
    </row>
    <row r="53" spans="1:51" ht="15.75" thickBot="1">
      <c r="B53" s="24" t="s">
        <v>72</v>
      </c>
      <c r="N53" s="35" t="s">
        <v>71</v>
      </c>
      <c r="O53" s="24">
        <v>150</v>
      </c>
      <c r="P53" s="35">
        <f>6</f>
        <v>6</v>
      </c>
      <c r="AK53" s="127" t="s">
        <v>213</v>
      </c>
      <c r="AL53" s="128">
        <f>AC46</f>
        <v>62926.667999999998</v>
      </c>
      <c r="AR53" s="47" t="s">
        <v>109</v>
      </c>
      <c r="AS53" s="49">
        <f>AS52/AS51</f>
        <v>24.875621890547265</v>
      </c>
    </row>
    <row r="54" spans="1:51" ht="15.75" thickBot="1">
      <c r="A54" s="35">
        <f>SUM(A30:A40)</f>
        <v>424</v>
      </c>
      <c r="B54" s="24" t="s">
        <v>72</v>
      </c>
      <c r="N54" s="35" t="s">
        <v>71</v>
      </c>
      <c r="O54" s="24">
        <v>100</v>
      </c>
      <c r="P54" s="35">
        <f>6</f>
        <v>6</v>
      </c>
      <c r="AK54" s="127"/>
      <c r="AL54" s="128"/>
      <c r="AR54" s="47" t="s">
        <v>111</v>
      </c>
      <c r="AS54" s="50" t="e">
        <f>AL45</f>
        <v>#VALUE!</v>
      </c>
    </row>
    <row r="55" spans="1:51" ht="26.25" thickBot="1">
      <c r="A55" s="35">
        <f>A41-A54</f>
        <v>3947</v>
      </c>
      <c r="AK55" s="114" t="s">
        <v>214</v>
      </c>
      <c r="AL55" s="113">
        <f>AC47</f>
        <v>6856.1892000000016</v>
      </c>
      <c r="AR55" s="47" t="s">
        <v>112</v>
      </c>
      <c r="AS55" s="50">
        <f>AL47</f>
        <v>16083.797999999999</v>
      </c>
    </row>
    <row r="56" spans="1:51" ht="15.75" thickBot="1">
      <c r="AL56" s="91">
        <f>SUM(AL53:AL55)+AL80</f>
        <v>81965.962598940008</v>
      </c>
      <c r="AR56" s="47" t="s">
        <v>113</v>
      </c>
      <c r="AS56" s="50" t="e">
        <f>AS50/(AS54+AS55)</f>
        <v>#VALUE!</v>
      </c>
    </row>
    <row r="57" spans="1:51" ht="15.75" thickBot="1">
      <c r="AR57" s="47" t="s">
        <v>114</v>
      </c>
      <c r="AS57" s="51" t="e">
        <f>AW101</f>
        <v>#VALUE!</v>
      </c>
    </row>
    <row r="58" spans="1:51" ht="15.75" thickBot="1">
      <c r="AR58" s="47" t="s">
        <v>116</v>
      </c>
      <c r="AS58" s="50" t="e">
        <f>AW100</f>
        <v>#VALUE!</v>
      </c>
    </row>
    <row r="59" spans="1:51" ht="15" customHeight="1">
      <c r="A59" s="35" t="s">
        <v>52</v>
      </c>
      <c r="AK59" s="127" t="s">
        <v>220</v>
      </c>
      <c r="AL59" s="129">
        <f>AL73</f>
        <v>333411.67768595042</v>
      </c>
      <c r="AM59" s="91"/>
    </row>
    <row r="60" spans="1:51">
      <c r="AK60" s="127"/>
      <c r="AL60" s="130"/>
      <c r="AM60" s="91"/>
    </row>
    <row r="61" spans="1:51" ht="15.75" thickBot="1">
      <c r="AK61" s="127"/>
      <c r="AL61" s="130"/>
      <c r="AM61" s="91"/>
    </row>
    <row r="62" spans="1:51" ht="15.75" thickBot="1">
      <c r="AR62" s="47" t="s">
        <v>107</v>
      </c>
      <c r="AS62" s="48">
        <f>AS50</f>
        <v>1511614.36</v>
      </c>
    </row>
    <row r="63" spans="1:51" ht="15.75" thickBot="1">
      <c r="AR63" s="47" t="s">
        <v>110</v>
      </c>
      <c r="AS63" s="75">
        <f t="shared" ref="AS63:AS70" si="19">AS51</f>
        <v>4020</v>
      </c>
      <c r="AV63" s="35" t="s">
        <v>126</v>
      </c>
      <c r="AW63" s="35" t="s">
        <v>123</v>
      </c>
      <c r="AX63" s="35" t="s">
        <v>124</v>
      </c>
      <c r="AY63" s="35" t="s">
        <v>125</v>
      </c>
    </row>
    <row r="64" spans="1:51" ht="15.75" thickBot="1">
      <c r="AI64" s="126" t="s">
        <v>228</v>
      </c>
      <c r="AJ64" s="126"/>
      <c r="AK64" s="126"/>
      <c r="AL64" s="93">
        <v>429691.13</v>
      </c>
      <c r="AM64" s="117">
        <v>3146047</v>
      </c>
      <c r="AR64" s="47" t="s">
        <v>108</v>
      </c>
      <c r="AS64" s="75">
        <f t="shared" si="19"/>
        <v>100000</v>
      </c>
      <c r="AV64" s="35" t="s">
        <v>130</v>
      </c>
      <c r="AW64" s="35">
        <f>-AW97</f>
        <v>-1511614.36</v>
      </c>
      <c r="AY64" s="35">
        <f>-AW97</f>
        <v>-1511614.36</v>
      </c>
    </row>
    <row r="65" spans="35:51" ht="15.75" thickBot="1">
      <c r="AI65" s="126" t="s">
        <v>229</v>
      </c>
      <c r="AJ65" s="126"/>
      <c r="AK65" s="126"/>
      <c r="AL65" s="115">
        <v>61785.56</v>
      </c>
      <c r="AM65" s="43"/>
      <c r="AR65" s="47" t="s">
        <v>109</v>
      </c>
      <c r="AS65" s="75">
        <f t="shared" si="19"/>
        <v>24.875621890547265</v>
      </c>
      <c r="AV65" s="35">
        <v>1</v>
      </c>
      <c r="AW65" s="91" t="e">
        <f>$AL$45+$AL$47</f>
        <v>#VALUE!</v>
      </c>
      <c r="AY65" s="35" t="e">
        <f>AW65-AX65</f>
        <v>#VALUE!</v>
      </c>
    </row>
    <row r="66" spans="35:51" ht="15.75" thickBot="1">
      <c r="AK66" s="35" t="s">
        <v>221</v>
      </c>
      <c r="AL66" s="116">
        <v>367906</v>
      </c>
      <c r="AR66" s="47" t="s">
        <v>215</v>
      </c>
      <c r="AS66" s="118">
        <f>AL59-AL83</f>
        <v>247255.04433356185</v>
      </c>
      <c r="AV66" s="35">
        <v>2</v>
      </c>
      <c r="AW66" s="91" t="e">
        <f t="shared" ref="AW66:AW90" si="20">$AL$45+$AL$47</f>
        <v>#VALUE!</v>
      </c>
      <c r="AY66" s="35" t="e">
        <f t="shared" ref="AY66:AY90" si="21">AW66-AX66</f>
        <v>#VALUE!</v>
      </c>
    </row>
    <row r="67" spans="35:51" ht="15.75" thickBot="1">
      <c r="AK67" s="35" t="s">
        <v>222</v>
      </c>
      <c r="AL67" s="116">
        <v>52526</v>
      </c>
      <c r="AM67" s="117">
        <v>384577</v>
      </c>
      <c r="AR67" s="47"/>
      <c r="AS67" s="48"/>
      <c r="AV67" s="35">
        <v>3</v>
      </c>
      <c r="AW67" s="91" t="e">
        <f t="shared" si="20"/>
        <v>#VALUE!</v>
      </c>
      <c r="AY67" s="35" t="e">
        <f t="shared" si="21"/>
        <v>#VALUE!</v>
      </c>
    </row>
    <row r="68" spans="35:51" ht="15.75" thickBot="1">
      <c r="AL68" s="91">
        <f>SUM(AL65:AL67)</f>
        <v>482217.56</v>
      </c>
      <c r="AR68" s="47" t="s">
        <v>113</v>
      </c>
      <c r="AS68" s="50">
        <f>AS62/(AS66)</f>
        <v>6.1135835027120491</v>
      </c>
      <c r="AV68" s="35">
        <v>4</v>
      </c>
      <c r="AW68" s="91" t="e">
        <f t="shared" si="20"/>
        <v>#VALUE!</v>
      </c>
      <c r="AY68" s="35" t="e">
        <f t="shared" si="21"/>
        <v>#VALUE!</v>
      </c>
    </row>
    <row r="69" spans="35:51" ht="15.75" thickBot="1">
      <c r="AR69" s="47" t="s">
        <v>114</v>
      </c>
      <c r="AS69" s="51" t="e">
        <f t="shared" si="19"/>
        <v>#VALUE!</v>
      </c>
      <c r="AV69" s="35">
        <v>5</v>
      </c>
      <c r="AW69" s="91" t="e">
        <f t="shared" si="20"/>
        <v>#VALUE!</v>
      </c>
      <c r="AY69" s="35" t="e">
        <f t="shared" si="21"/>
        <v>#VALUE!</v>
      </c>
    </row>
    <row r="70" spans="35:51" ht="15.75" thickBot="1">
      <c r="AL70" s="93">
        <f>AL64+AL68</f>
        <v>911908.69</v>
      </c>
      <c r="AR70" s="47" t="s">
        <v>116</v>
      </c>
      <c r="AS70" s="48" t="e">
        <f t="shared" si="19"/>
        <v>#VALUE!</v>
      </c>
      <c r="AV70" s="35">
        <v>6</v>
      </c>
      <c r="AW70" s="91" t="e">
        <f t="shared" si="20"/>
        <v>#VALUE!</v>
      </c>
      <c r="AY70" s="35" t="e">
        <f t="shared" si="21"/>
        <v>#VALUE!</v>
      </c>
    </row>
    <row r="71" spans="35:51" ht="15.75" thickBot="1">
      <c r="AO71" s="93">
        <f>AL72*0.21</f>
        <v>84719.907299999992</v>
      </c>
      <c r="AP71" s="93">
        <f>AL72-AO71</f>
        <v>318708.22270000004</v>
      </c>
      <c r="AV71" s="35">
        <v>7</v>
      </c>
      <c r="AW71" s="91" t="e">
        <f t="shared" si="20"/>
        <v>#VALUE!</v>
      </c>
      <c r="AY71" s="35" t="e">
        <f t="shared" si="21"/>
        <v>#VALUE!</v>
      </c>
    </row>
    <row r="72" spans="35:51" ht="15.75" thickBot="1">
      <c r="AJ72" s="35" t="s">
        <v>234</v>
      </c>
      <c r="AK72" s="35" t="s">
        <v>235</v>
      </c>
      <c r="AL72" s="93">
        <f>AL64-(AL67*0.5)</f>
        <v>403428.13</v>
      </c>
      <c r="AM72" s="43">
        <f>AM64-(AM67*0.5)</f>
        <v>2953758.5</v>
      </c>
      <c r="AO72" s="93">
        <f>AL72*0.79</f>
        <v>318708.22270000004</v>
      </c>
      <c r="AP72" s="93">
        <f>AP71*1.21</f>
        <v>385636.94946700003</v>
      </c>
      <c r="AR72" s="47" t="s">
        <v>216</v>
      </c>
      <c r="AS72" s="119">
        <f>AM72</f>
        <v>2953758.5</v>
      </c>
      <c r="AV72" s="35">
        <v>8</v>
      </c>
      <c r="AW72" s="91" t="e">
        <f t="shared" si="20"/>
        <v>#VALUE!</v>
      </c>
      <c r="AY72" s="35" t="e">
        <f t="shared" si="21"/>
        <v>#VALUE!</v>
      </c>
    </row>
    <row r="73" spans="35:51" ht="15.75" thickBot="1">
      <c r="AJ73" s="35" t="s">
        <v>234</v>
      </c>
      <c r="AK73" s="35" t="s">
        <v>230</v>
      </c>
      <c r="AL73" s="93">
        <f>AL72/1.21</f>
        <v>333411.67768595042</v>
      </c>
      <c r="AO73" s="93">
        <f>AL72/1.21</f>
        <v>333411.67768595042</v>
      </c>
      <c r="AP73" s="93">
        <f>AO73*1.21</f>
        <v>403428.13</v>
      </c>
      <c r="AR73" s="47" t="s">
        <v>217</v>
      </c>
      <c r="AS73" s="118">
        <f>AL59</f>
        <v>333411.67768595042</v>
      </c>
      <c r="AV73" s="35">
        <v>9</v>
      </c>
      <c r="AW73" s="91" t="e">
        <f t="shared" si="20"/>
        <v>#VALUE!</v>
      </c>
      <c r="AY73" s="35" t="e">
        <f t="shared" si="21"/>
        <v>#VALUE!</v>
      </c>
    </row>
    <row r="74" spans="35:51" ht="15.75" thickBot="1">
      <c r="AJ74" s="35" t="s">
        <v>234</v>
      </c>
      <c r="AK74" s="35" t="s">
        <v>223</v>
      </c>
      <c r="AL74" s="93">
        <f>AL73*0.9489</f>
        <v>316374.34095619834</v>
      </c>
      <c r="AN74" s="35">
        <v>5.1100000000000003</v>
      </c>
      <c r="AP74" s="93"/>
      <c r="AR74" s="47" t="s">
        <v>218</v>
      </c>
      <c r="AS74" s="58">
        <f>R41</f>
        <v>523.74400000000003</v>
      </c>
      <c r="AV74" s="35">
        <v>10</v>
      </c>
      <c r="AW74" s="91" t="e">
        <f t="shared" si="20"/>
        <v>#VALUE!</v>
      </c>
      <c r="AY74" s="35" t="e">
        <f t="shared" si="21"/>
        <v>#VALUE!</v>
      </c>
    </row>
    <row r="75" spans="35:51" ht="15.75" thickBot="1">
      <c r="AN75" s="35">
        <f>100-AN74</f>
        <v>94.89</v>
      </c>
      <c r="AP75" s="93"/>
      <c r="AR75" s="47" t="s">
        <v>219</v>
      </c>
      <c r="AS75" s="58">
        <f>AD41</f>
        <v>156.53400000000005</v>
      </c>
      <c r="AV75" s="35">
        <v>11</v>
      </c>
      <c r="AW75" s="91" t="e">
        <f t="shared" si="20"/>
        <v>#VALUE!</v>
      </c>
      <c r="AY75" s="35" t="e">
        <f t="shared" si="21"/>
        <v>#VALUE!</v>
      </c>
    </row>
    <row r="76" spans="35:51" ht="15.75" thickBot="1">
      <c r="AV76" s="35">
        <v>12</v>
      </c>
      <c r="AW76" s="91" t="e">
        <f t="shared" si="20"/>
        <v>#VALUE!</v>
      </c>
      <c r="AY76" s="35" t="e">
        <f t="shared" si="21"/>
        <v>#VALUE!</v>
      </c>
    </row>
    <row r="77" spans="35:51" ht="15.75" thickBot="1">
      <c r="AK77" s="35" t="s">
        <v>226</v>
      </c>
      <c r="AL77" s="92">
        <f>AD41</f>
        <v>156.53400000000005</v>
      </c>
      <c r="AR77" s="47" t="s">
        <v>227</v>
      </c>
      <c r="AS77" s="119">
        <f>AE46</f>
        <v>629266.68000000017</v>
      </c>
      <c r="AV77" s="35">
        <v>13</v>
      </c>
      <c r="AW77" s="91" t="e">
        <f t="shared" si="20"/>
        <v>#VALUE!</v>
      </c>
      <c r="AY77" s="35" t="e">
        <f t="shared" si="21"/>
        <v>#VALUE!</v>
      </c>
    </row>
    <row r="78" spans="35:51" ht="15.75" thickBot="1">
      <c r="AJ78" s="35" t="s">
        <v>117</v>
      </c>
      <c r="AK78" s="35" t="s">
        <v>224</v>
      </c>
      <c r="AL78" s="35">
        <f>AL77*365*AN78</f>
        <v>5938.8310850400012</v>
      </c>
      <c r="AN78" s="35">
        <v>0.10394399999999999</v>
      </c>
      <c r="AR78" s="47" t="s">
        <v>217</v>
      </c>
      <c r="AS78" s="120">
        <f>AL83</f>
        <v>86156.633352388584</v>
      </c>
      <c r="AV78" s="35">
        <v>14</v>
      </c>
      <c r="AW78" s="91" t="e">
        <f t="shared" si="20"/>
        <v>#VALUE!</v>
      </c>
      <c r="AY78" s="35" t="e">
        <f t="shared" si="21"/>
        <v>#VALUE!</v>
      </c>
    </row>
    <row r="79" spans="35:51">
      <c r="AJ79" s="35" t="s">
        <v>117</v>
      </c>
      <c r="AK79" s="35" t="s">
        <v>225</v>
      </c>
      <c r="AL79" s="35">
        <f>AL77*365*AN79</f>
        <v>6244.2743139000022</v>
      </c>
      <c r="AN79" s="35">
        <v>0.10929</v>
      </c>
      <c r="AV79" s="35">
        <v>15</v>
      </c>
      <c r="AW79" s="91" t="e">
        <f t="shared" si="20"/>
        <v>#VALUE!</v>
      </c>
      <c r="AY79" s="35" t="e">
        <f t="shared" si="21"/>
        <v>#VALUE!</v>
      </c>
    </row>
    <row r="80" spans="35:51">
      <c r="AL80" s="35">
        <f>AL79+AL78</f>
        <v>12183.105398940002</v>
      </c>
      <c r="AV80" s="35">
        <v>16</v>
      </c>
      <c r="AW80" s="91" t="e">
        <f t="shared" si="20"/>
        <v>#VALUE!</v>
      </c>
      <c r="AY80" s="35" t="e">
        <f t="shared" si="21"/>
        <v>#VALUE!</v>
      </c>
    </row>
    <row r="81" spans="36:51">
      <c r="AJ81" s="35" t="s">
        <v>117</v>
      </c>
      <c r="AK81" s="35" t="s">
        <v>232</v>
      </c>
      <c r="AL81" s="91">
        <f>AL53+AL55+AL78+AL79</f>
        <v>81965.962598940008</v>
      </c>
      <c r="AW81" s="91"/>
    </row>
    <row r="82" spans="36:51">
      <c r="AJ82" s="35" t="s">
        <v>117</v>
      </c>
      <c r="AK82" s="35" t="s">
        <v>231</v>
      </c>
      <c r="AL82" s="122">
        <f>AL81*AN82</f>
        <v>4190.6707534485822</v>
      </c>
      <c r="AN82" s="121">
        <v>5.11269632E-2</v>
      </c>
      <c r="AS82" s="43">
        <f>AS72-AS77</f>
        <v>2324491.8199999998</v>
      </c>
      <c r="AV82" s="35">
        <v>17</v>
      </c>
      <c r="AW82" s="91" t="e">
        <f t="shared" si="20"/>
        <v>#VALUE!</v>
      </c>
      <c r="AY82" s="35" t="e">
        <f t="shared" si="21"/>
        <v>#VALUE!</v>
      </c>
    </row>
    <row r="83" spans="36:51">
      <c r="AJ83" s="35" t="s">
        <v>117</v>
      </c>
      <c r="AK83" s="35" t="s">
        <v>233</v>
      </c>
      <c r="AL83" s="123">
        <f>AL81+AL82</f>
        <v>86156.633352388584</v>
      </c>
      <c r="AV83" s="35">
        <v>18</v>
      </c>
      <c r="AW83" s="91" t="e">
        <f t="shared" si="20"/>
        <v>#VALUE!</v>
      </c>
      <c r="AY83" s="35" t="e">
        <f t="shared" si="21"/>
        <v>#VALUE!</v>
      </c>
    </row>
    <row r="84" spans="36:51">
      <c r="AV84" s="35">
        <v>19</v>
      </c>
      <c r="AW84" s="91" t="e">
        <f t="shared" si="20"/>
        <v>#VALUE!</v>
      </c>
      <c r="AY84" s="35" t="e">
        <f t="shared" si="21"/>
        <v>#VALUE!</v>
      </c>
    </row>
    <row r="85" spans="36:51">
      <c r="AV85" s="35">
        <v>20</v>
      </c>
      <c r="AW85" s="91" t="e">
        <f t="shared" si="20"/>
        <v>#VALUE!</v>
      </c>
      <c r="AY85" s="35" t="e">
        <f t="shared" si="21"/>
        <v>#VALUE!</v>
      </c>
    </row>
    <row r="86" spans="36:51">
      <c r="AV86" s="35">
        <v>21</v>
      </c>
      <c r="AW86" s="91" t="e">
        <f t="shared" si="20"/>
        <v>#VALUE!</v>
      </c>
      <c r="AY86" s="35" t="e">
        <f t="shared" si="21"/>
        <v>#VALUE!</v>
      </c>
    </row>
    <row r="87" spans="36:51">
      <c r="AV87" s="35">
        <v>22</v>
      </c>
      <c r="AW87" s="91" t="e">
        <f t="shared" si="20"/>
        <v>#VALUE!</v>
      </c>
      <c r="AY87" s="35" t="e">
        <f t="shared" si="21"/>
        <v>#VALUE!</v>
      </c>
    </row>
    <row r="88" spans="36:51">
      <c r="AV88" s="35">
        <v>23</v>
      </c>
      <c r="AW88" s="91" t="e">
        <f t="shared" si="20"/>
        <v>#VALUE!</v>
      </c>
      <c r="AY88" s="35" t="e">
        <f t="shared" si="21"/>
        <v>#VALUE!</v>
      </c>
    </row>
    <row r="89" spans="36:51">
      <c r="AV89" s="35">
        <v>24</v>
      </c>
      <c r="AW89" s="91" t="e">
        <f t="shared" si="20"/>
        <v>#VALUE!</v>
      </c>
      <c r="AY89" s="35" t="e">
        <f t="shared" si="21"/>
        <v>#VALUE!</v>
      </c>
    </row>
    <row r="90" spans="36:51">
      <c r="AV90" s="35">
        <v>25</v>
      </c>
      <c r="AW90" s="91" t="e">
        <f t="shared" si="20"/>
        <v>#VALUE!</v>
      </c>
      <c r="AY90" s="35" t="e">
        <f t="shared" si="21"/>
        <v>#VALUE!</v>
      </c>
    </row>
    <row r="95" spans="36:51">
      <c r="AV95" s="35" t="s">
        <v>127</v>
      </c>
    </row>
    <row r="96" spans="36:51">
      <c r="AV96" s="35" t="s">
        <v>128</v>
      </c>
      <c r="AW96" s="35">
        <v>0.1</v>
      </c>
    </row>
    <row r="97" spans="48:49">
      <c r="AV97" s="35" t="s">
        <v>129</v>
      </c>
      <c r="AW97" s="92">
        <f>AW98</f>
        <v>1511614.36</v>
      </c>
    </row>
    <row r="98" spans="48:49">
      <c r="AW98" s="92">
        <f>AP41</f>
        <v>1511614.36</v>
      </c>
    </row>
    <row r="100" spans="48:49">
      <c r="AV100" s="35" t="s">
        <v>115</v>
      </c>
      <c r="AW100" s="93" t="e">
        <f>NPV(AW96,AY64:AY90)+AW97</f>
        <v>#VALUE!</v>
      </c>
    </row>
    <row r="101" spans="48:49">
      <c r="AV101" s="35" t="s">
        <v>131</v>
      </c>
      <c r="AW101" s="94" t="e">
        <f>IRR(AY64:AY90)</f>
        <v>#VALUE!</v>
      </c>
    </row>
    <row r="102" spans="48:49">
      <c r="AV102" s="35" t="s">
        <v>131</v>
      </c>
      <c r="AW102" s="94" t="e">
        <f>IRR(AW64:AW90)</f>
        <v>#VALUE!</v>
      </c>
    </row>
  </sheetData>
  <mergeCells count="13">
    <mergeCell ref="AK59:AK61"/>
    <mergeCell ref="AL59:AL61"/>
    <mergeCell ref="AI64:AK64"/>
    <mergeCell ref="AI65:AK65"/>
    <mergeCell ref="A23:S23"/>
    <mergeCell ref="T23:AE23"/>
    <mergeCell ref="A1:AF1"/>
    <mergeCell ref="A3:S3"/>
    <mergeCell ref="AK45:AK46"/>
    <mergeCell ref="AL45:AL46"/>
    <mergeCell ref="AK53:AK54"/>
    <mergeCell ref="AL53:AL54"/>
    <mergeCell ref="T3:AE3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L19"/>
  <sheetViews>
    <sheetView workbookViewId="0">
      <selection activeCell="L13" sqref="L13"/>
    </sheetView>
  </sheetViews>
  <sheetFormatPr baseColWidth="10" defaultRowHeight="15"/>
  <cols>
    <col min="3" max="3" width="10" customWidth="1"/>
    <col min="4" max="4" width="7.85546875" customWidth="1"/>
    <col min="5" max="5" width="13.85546875" customWidth="1"/>
    <col min="6" max="6" width="2.85546875" customWidth="1"/>
    <col min="7" max="7" width="14.42578125" customWidth="1"/>
    <col min="8" max="8" width="8.140625" customWidth="1"/>
    <col min="9" max="9" width="10.28515625" customWidth="1"/>
    <col min="12" max="12" width="71.42578125" bestFit="1" customWidth="1"/>
  </cols>
  <sheetData>
    <row r="4" spans="3:12">
      <c r="C4" s="3"/>
      <c r="D4" s="4"/>
      <c r="E4" s="5"/>
      <c r="F4" s="6" t="s">
        <v>19</v>
      </c>
      <c r="G4" s="5"/>
      <c r="H4" s="4"/>
      <c r="I4" s="3"/>
      <c r="K4" s="138" t="s">
        <v>36</v>
      </c>
      <c r="L4" s="138"/>
    </row>
    <row r="5" spans="3:12">
      <c r="C5" s="3"/>
      <c r="D5" s="4"/>
      <c r="E5" s="5"/>
      <c r="F5" s="6"/>
      <c r="G5" s="5"/>
      <c r="H5" s="4"/>
      <c r="I5" s="3"/>
      <c r="K5" s="8"/>
      <c r="L5" s="8" t="s">
        <v>28</v>
      </c>
    </row>
    <row r="6" spans="3:12">
      <c r="C6" s="3"/>
      <c r="D6" s="4"/>
      <c r="E6" s="5" t="s">
        <v>20</v>
      </c>
      <c r="F6" s="6"/>
      <c r="G6" s="5" t="s">
        <v>21</v>
      </c>
      <c r="H6" s="4"/>
      <c r="I6" s="3"/>
      <c r="K6" s="9" t="s">
        <v>22</v>
      </c>
      <c r="L6" s="8" t="s">
        <v>17</v>
      </c>
    </row>
    <row r="7" spans="3:12">
      <c r="C7" s="3"/>
      <c r="D7" s="4" t="s">
        <v>26</v>
      </c>
      <c r="E7" s="5"/>
      <c r="F7" s="6"/>
      <c r="G7" s="5"/>
      <c r="H7" s="4" t="s">
        <v>27</v>
      </c>
      <c r="I7" s="3"/>
      <c r="K7" s="9" t="s">
        <v>23</v>
      </c>
      <c r="L7" s="8" t="s">
        <v>18</v>
      </c>
    </row>
    <row r="8" spans="3:12">
      <c r="C8" s="3" t="s">
        <v>22</v>
      </c>
      <c r="D8" s="4"/>
      <c r="E8" s="5"/>
      <c r="F8" s="6"/>
      <c r="G8" s="5"/>
      <c r="H8" s="4"/>
      <c r="I8" s="3" t="s">
        <v>23</v>
      </c>
      <c r="K8" s="10" t="s">
        <v>26</v>
      </c>
      <c r="L8" s="8" t="s">
        <v>29</v>
      </c>
    </row>
    <row r="9" spans="3:12">
      <c r="C9" s="3"/>
      <c r="D9" s="4"/>
      <c r="E9" s="5"/>
      <c r="F9" s="6"/>
      <c r="G9" s="5"/>
      <c r="H9" s="4"/>
      <c r="I9" s="3"/>
      <c r="K9" s="10" t="s">
        <v>27</v>
      </c>
      <c r="L9" s="8" t="s">
        <v>30</v>
      </c>
    </row>
    <row r="10" spans="3:12">
      <c r="C10" s="3"/>
      <c r="D10" s="4"/>
      <c r="E10" s="5"/>
      <c r="F10" s="6"/>
      <c r="G10" s="5"/>
      <c r="H10" s="4"/>
      <c r="I10" s="3"/>
      <c r="K10" s="11" t="s">
        <v>20</v>
      </c>
      <c r="L10" s="8" t="s">
        <v>31</v>
      </c>
    </row>
    <row r="11" spans="3:12">
      <c r="C11" s="3" t="s">
        <v>24</v>
      </c>
      <c r="D11" s="4"/>
      <c r="E11" s="5"/>
      <c r="F11" s="6"/>
      <c r="G11" s="5"/>
      <c r="H11" s="4"/>
      <c r="I11" s="3" t="s">
        <v>25</v>
      </c>
      <c r="K11" s="11" t="s">
        <v>21</v>
      </c>
      <c r="L11" s="8" t="s">
        <v>32</v>
      </c>
    </row>
    <row r="12" spans="3:12">
      <c r="C12" s="7"/>
      <c r="D12" s="4"/>
      <c r="E12" s="5"/>
      <c r="F12" s="6"/>
      <c r="G12" s="5"/>
      <c r="H12" s="4"/>
      <c r="I12" s="3"/>
      <c r="K12" s="12" t="s">
        <v>19</v>
      </c>
      <c r="L12" s="8" t="s">
        <v>33</v>
      </c>
    </row>
    <row r="13" spans="3:12">
      <c r="C13" s="3"/>
      <c r="D13" s="4"/>
      <c r="E13" s="5"/>
      <c r="F13" s="6"/>
      <c r="G13" s="5"/>
      <c r="H13" s="4"/>
      <c r="I13" s="3"/>
      <c r="K13" s="13" t="s">
        <v>24</v>
      </c>
      <c r="L13" s="8" t="s">
        <v>35</v>
      </c>
    </row>
    <row r="14" spans="3:12">
      <c r="C14" s="3"/>
      <c r="D14" s="4"/>
      <c r="E14" s="5"/>
      <c r="F14" s="6"/>
      <c r="G14" s="5"/>
      <c r="H14" s="4"/>
      <c r="I14" s="3"/>
      <c r="K14" s="13" t="s">
        <v>25</v>
      </c>
      <c r="L14" s="8" t="s">
        <v>34</v>
      </c>
    </row>
    <row r="15" spans="3:12">
      <c r="C15" s="3"/>
      <c r="D15" s="4"/>
      <c r="E15" s="5"/>
      <c r="F15" s="6"/>
      <c r="G15" s="5"/>
      <c r="H15" s="4"/>
      <c r="I15" s="3"/>
    </row>
    <row r="16" spans="3:12">
      <c r="C16" s="3"/>
      <c r="D16" s="4"/>
      <c r="E16" s="5"/>
      <c r="F16" s="6"/>
      <c r="G16" s="5"/>
      <c r="H16" s="4"/>
      <c r="I16" s="3"/>
    </row>
    <row r="17" spans="3:9">
      <c r="C17" s="3"/>
      <c r="D17" s="4"/>
      <c r="E17" s="5"/>
      <c r="F17" s="6"/>
      <c r="G17" s="5"/>
      <c r="H17" s="4"/>
      <c r="I17" s="3"/>
    </row>
    <row r="18" spans="3:9">
      <c r="C18" s="3"/>
      <c r="D18" s="4"/>
      <c r="E18" s="5"/>
      <c r="F18" s="6"/>
      <c r="G18" s="5"/>
      <c r="H18" s="4"/>
      <c r="I18" s="3"/>
    </row>
    <row r="19" spans="3:9">
      <c r="C19" s="3"/>
      <c r="D19" s="4"/>
      <c r="E19" s="5"/>
      <c r="F19" s="6"/>
      <c r="G19" s="5"/>
      <c r="H19" s="4"/>
      <c r="I19" s="3"/>
    </row>
  </sheetData>
  <mergeCells count="1">
    <mergeCell ref="K4:L4"/>
  </mergeCells>
  <pageMargins left="0.7" right="0.7" top="0.75" bottom="0.75" header="0.3" footer="0.3"/>
  <pageSetup paperSize="9" orientation="portrait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A29" sqref="A29:XFD29"/>
    </sheetView>
  </sheetViews>
  <sheetFormatPr baseColWidth="10" defaultRowHeight="15"/>
  <cols>
    <col min="2" max="2" width="12.85546875" customWidth="1"/>
  </cols>
  <sheetData>
    <row r="3" spans="2:7">
      <c r="B3" t="s">
        <v>94</v>
      </c>
    </row>
    <row r="5" spans="2:7" ht="30">
      <c r="B5" s="36" t="s">
        <v>95</v>
      </c>
      <c r="C5" s="37" t="s">
        <v>99</v>
      </c>
      <c r="D5" s="37" t="s">
        <v>100</v>
      </c>
      <c r="E5" s="37" t="s">
        <v>101</v>
      </c>
      <c r="G5" s="39" t="s">
        <v>103</v>
      </c>
    </row>
    <row r="6" spans="2:7">
      <c r="B6" s="37" t="s">
        <v>96</v>
      </c>
      <c r="C6" s="37">
        <v>1930</v>
      </c>
      <c r="D6" s="37">
        <v>1310</v>
      </c>
      <c r="E6" s="37">
        <v>570</v>
      </c>
      <c r="F6" s="40"/>
      <c r="G6">
        <f>C6*F6</f>
        <v>0</v>
      </c>
    </row>
    <row r="7" spans="2:7">
      <c r="B7" s="37" t="s">
        <v>97</v>
      </c>
      <c r="C7" s="37">
        <v>2280</v>
      </c>
      <c r="D7" s="37">
        <v>2900</v>
      </c>
      <c r="E7" s="37">
        <v>3640</v>
      </c>
      <c r="F7" s="40"/>
      <c r="G7">
        <f t="shared" ref="G7:G8" si="0">C7*F7</f>
        <v>0</v>
      </c>
    </row>
    <row r="8" spans="2:7">
      <c r="B8" s="37" t="s">
        <v>98</v>
      </c>
      <c r="C8" s="37">
        <f>SUM(C6:C7)</f>
        <v>4210</v>
      </c>
      <c r="D8" s="37">
        <f t="shared" ref="D8:E8" si="1">SUM(D6:D7)</f>
        <v>4210</v>
      </c>
      <c r="E8" s="37">
        <f t="shared" si="1"/>
        <v>4210</v>
      </c>
      <c r="F8" s="40">
        <v>0.96</v>
      </c>
      <c r="G8">
        <f t="shared" si="0"/>
        <v>4041.6</v>
      </c>
    </row>
    <row r="9" spans="2:7">
      <c r="E9" s="41">
        <f>G8/C8</f>
        <v>0.96</v>
      </c>
    </row>
    <row r="11" spans="2:7">
      <c r="B11" s="38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B38"/>
    </sheetView>
  </sheetViews>
  <sheetFormatPr baseColWidth="10" defaultRowHeight="15"/>
  <cols>
    <col min="2" max="2" width="11.42578125" customWidth="1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9"/>
  <sheetViews>
    <sheetView topLeftCell="A4" zoomScaleNormal="100" workbookViewId="0">
      <selection activeCell="N5" sqref="N5:N38"/>
    </sheetView>
  </sheetViews>
  <sheetFormatPr baseColWidth="10" defaultRowHeight="15"/>
  <cols>
    <col min="1" max="1" width="8" style="35" customWidth="1"/>
    <col min="2" max="2" width="37" style="35" customWidth="1"/>
    <col min="3" max="3" width="12.140625" style="35" customWidth="1"/>
    <col min="4" max="8" width="11.42578125" style="35" customWidth="1"/>
    <col min="9" max="9" width="9.42578125" style="35" customWidth="1"/>
    <col min="10" max="13" width="11.42578125" style="35" customWidth="1"/>
    <col min="14" max="14" width="60.5703125" style="35" customWidth="1"/>
    <col min="15" max="15" width="24.28515625" style="35" hidden="1" customWidth="1"/>
    <col min="16" max="16" width="25.5703125" style="35" hidden="1" customWidth="1"/>
    <col min="17" max="17" width="11.42578125" style="35" customWidth="1"/>
    <col min="18" max="18" width="15" style="35" customWidth="1"/>
    <col min="19" max="20" width="11.42578125" style="35" customWidth="1"/>
    <col min="21" max="21" width="9" style="35" customWidth="1"/>
    <col min="22" max="22" width="10.5703125" style="59" customWidth="1"/>
    <col min="23" max="28" width="9" style="35" customWidth="1"/>
    <col min="29" max="29" width="31.5703125" style="35" customWidth="1"/>
    <col min="30" max="30" width="14.28515625" style="35" bestFit="1" customWidth="1"/>
    <col min="31" max="33" width="11.42578125" style="35"/>
    <col min="34" max="34" width="11.7109375" style="35" bestFit="1" customWidth="1"/>
    <col min="35" max="37" width="11.42578125" style="35"/>
    <col min="38" max="38" width="25.28515625" style="35" customWidth="1"/>
    <col min="39" max="39" width="13.85546875" style="35" bestFit="1" customWidth="1"/>
    <col min="40" max="40" width="13.85546875" style="35" customWidth="1"/>
    <col min="41" max="41" width="11.42578125" style="35"/>
    <col min="42" max="42" width="13.85546875" style="35" bestFit="1" customWidth="1"/>
    <col min="43" max="43" width="14.7109375" style="35" bestFit="1" customWidth="1"/>
    <col min="44" max="44" width="11.42578125" style="35"/>
    <col min="45" max="45" width="38" style="35" bestFit="1" customWidth="1"/>
    <col min="46" max="46" width="15.85546875" style="43" customWidth="1"/>
    <col min="47" max="49" width="11.42578125" style="35"/>
    <col min="50" max="50" width="15" style="35" customWidth="1"/>
    <col min="51" max="16384" width="11.42578125" style="35"/>
  </cols>
  <sheetData>
    <row r="1" spans="1:44" ht="23.25">
      <c r="A1" s="137" t="s">
        <v>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44" ht="15.75" thickBot="1"/>
    <row r="3" spans="1:44" ht="15.75" customHeight="1" thickBot="1">
      <c r="A3" s="131" t="s">
        <v>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  <c r="U3" s="134" t="s">
        <v>132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6"/>
    </row>
    <row r="4" spans="1:44" ht="52.5" customHeight="1" thickBot="1">
      <c r="A4" s="30" t="s">
        <v>0</v>
      </c>
      <c r="B4" s="31" t="s">
        <v>13</v>
      </c>
      <c r="C4" s="31" t="s">
        <v>14</v>
      </c>
      <c r="D4" s="31" t="s">
        <v>15</v>
      </c>
      <c r="E4" s="31" t="s">
        <v>16</v>
      </c>
      <c r="F4" s="31" t="s">
        <v>46</v>
      </c>
      <c r="G4" s="31" t="s">
        <v>47</v>
      </c>
      <c r="H4" s="31" t="s">
        <v>48</v>
      </c>
      <c r="I4" s="31" t="s">
        <v>45</v>
      </c>
      <c r="J4" s="31" t="s">
        <v>49</v>
      </c>
      <c r="K4" s="31" t="s">
        <v>50</v>
      </c>
      <c r="L4" s="31" t="s">
        <v>51</v>
      </c>
      <c r="M4" s="31" t="s">
        <v>212</v>
      </c>
      <c r="N4" s="1" t="s">
        <v>44</v>
      </c>
      <c r="O4" s="31" t="s">
        <v>1</v>
      </c>
      <c r="P4" s="31" t="s">
        <v>2</v>
      </c>
      <c r="Q4" s="2" t="s">
        <v>69</v>
      </c>
      <c r="R4" s="2" t="s">
        <v>3</v>
      </c>
      <c r="S4" s="1" t="s">
        <v>5</v>
      </c>
      <c r="T4" s="2" t="s">
        <v>6</v>
      </c>
      <c r="U4" s="1" t="s">
        <v>0</v>
      </c>
      <c r="V4" s="2" t="s">
        <v>62</v>
      </c>
      <c r="W4" s="2" t="s">
        <v>37</v>
      </c>
      <c r="X4" s="2" t="s">
        <v>38</v>
      </c>
      <c r="Y4" s="2" t="s">
        <v>39</v>
      </c>
      <c r="Z4" s="2" t="s">
        <v>40</v>
      </c>
      <c r="AA4" s="2" t="s">
        <v>41</v>
      </c>
      <c r="AB4" s="2" t="s">
        <v>42</v>
      </c>
      <c r="AC4" s="2" t="s">
        <v>43</v>
      </c>
      <c r="AD4" s="31" t="s">
        <v>2</v>
      </c>
      <c r="AE4" s="2" t="s">
        <v>3</v>
      </c>
      <c r="AF4" s="1" t="s">
        <v>5</v>
      </c>
      <c r="AG4" s="2" t="s">
        <v>6</v>
      </c>
      <c r="AH4" s="21" t="s">
        <v>104</v>
      </c>
      <c r="AI4" s="21" t="s">
        <v>105</v>
      </c>
      <c r="AK4" s="1" t="str">
        <f>U4</f>
        <v>Nº PL</v>
      </c>
      <c r="AL4" s="1" t="s">
        <v>117</v>
      </c>
      <c r="AM4" s="1" t="s">
        <v>118</v>
      </c>
      <c r="AN4" s="1" t="s">
        <v>183</v>
      </c>
      <c r="AO4" s="1" t="s">
        <v>119</v>
      </c>
      <c r="AP4" s="1" t="s">
        <v>120</v>
      </c>
      <c r="AQ4" s="1" t="s">
        <v>121</v>
      </c>
      <c r="AR4" s="1" t="s">
        <v>122</v>
      </c>
    </row>
    <row r="5" spans="1:44" ht="15.75" thickBot="1">
      <c r="A5" s="97">
        <v>31</v>
      </c>
      <c r="B5" s="97" t="s">
        <v>83</v>
      </c>
      <c r="C5" s="97" t="s">
        <v>64</v>
      </c>
      <c r="D5" s="97">
        <f>'[1]TABLA RESUMEN'!$I$185</f>
        <v>8</v>
      </c>
      <c r="E5" s="97">
        <v>48</v>
      </c>
      <c r="F5" s="98">
        <v>3.5</v>
      </c>
      <c r="G5" s="97">
        <v>1.8</v>
      </c>
      <c r="H5" s="97">
        <f>8.9-1.8*2</f>
        <v>5.3000000000000007</v>
      </c>
      <c r="I5" s="97"/>
      <c r="J5" s="97"/>
      <c r="K5" s="97">
        <v>1.8</v>
      </c>
      <c r="L5" s="98">
        <v>3.2</v>
      </c>
      <c r="M5" s="97">
        <f>F5+G5+H5+I5+J5+K5+L5</f>
        <v>15.600000000000001</v>
      </c>
      <c r="N5" s="108" t="s">
        <v>191</v>
      </c>
      <c r="O5" s="22" t="str">
        <f>'[1]TABLA RESUMEN'!$W$185</f>
        <v>VS AP</v>
      </c>
      <c r="P5" s="25">
        <f>'[1]TABLA RESUMEN'!$X$185</f>
        <v>250</v>
      </c>
      <c r="Q5" s="26">
        <f>12+19</f>
        <v>31</v>
      </c>
      <c r="R5" s="27">
        <f>($O$42*P5*Q5)/1000</f>
        <v>6.2</v>
      </c>
      <c r="S5" s="80">
        <f>R5</f>
        <v>6.2</v>
      </c>
      <c r="T5" s="34">
        <f>S5*$O$42</f>
        <v>4.9600000000000009</v>
      </c>
      <c r="U5" s="29">
        <f>Q5</f>
        <v>31</v>
      </c>
      <c r="V5" s="62" t="s">
        <v>133</v>
      </c>
      <c r="W5" s="60" t="s">
        <v>134</v>
      </c>
      <c r="X5" s="60">
        <v>12.5</v>
      </c>
      <c r="Y5" s="60">
        <v>73</v>
      </c>
      <c r="Z5" s="60">
        <v>0.81</v>
      </c>
      <c r="AA5" s="60">
        <v>74</v>
      </c>
      <c r="AB5" s="60" t="s">
        <v>135</v>
      </c>
      <c r="AC5" s="60" t="s">
        <v>136</v>
      </c>
      <c r="AD5" s="60">
        <v>51</v>
      </c>
      <c r="AE5" s="27">
        <f>(U5*AD5)/1000</f>
        <v>1.581</v>
      </c>
      <c r="AF5" s="34">
        <f>U5*AD5</f>
        <v>1581</v>
      </c>
      <c r="AG5" s="81"/>
      <c r="AH5" s="27">
        <v>344.56</v>
      </c>
      <c r="AI5" s="27">
        <f>U5*AH5</f>
        <v>10681.36</v>
      </c>
      <c r="AK5" s="52">
        <f>U5</f>
        <v>31</v>
      </c>
      <c r="AL5" s="45" t="str">
        <f>V5</f>
        <v>Estudio 5</v>
      </c>
      <c r="AM5" s="45">
        <f>(T5-AE5)*$AD$41</f>
        <v>13583.580000000004</v>
      </c>
      <c r="AN5" s="44">
        <f>(S5-AE5)*365</f>
        <v>1685.9349999999999</v>
      </c>
      <c r="AO5" s="53">
        <f>100%-(AE5/T5)</f>
        <v>0.68125000000000013</v>
      </c>
      <c r="AP5" s="45">
        <f>(AM5*$AM$46)+(AN5*$AM$47)</f>
        <v>2104.0134000000007</v>
      </c>
      <c r="AQ5" s="44">
        <f>AI5</f>
        <v>10681.36</v>
      </c>
      <c r="AR5" s="44">
        <f>AQ5/AP5</f>
        <v>5.0766596828708392</v>
      </c>
    </row>
    <row r="6" spans="1:44" ht="15.75" thickBot="1">
      <c r="A6" s="99">
        <v>43</v>
      </c>
      <c r="B6" s="99" t="s">
        <v>84</v>
      </c>
      <c r="C6" s="99" t="s">
        <v>64</v>
      </c>
      <c r="D6" s="100">
        <v>8.8000000000000007</v>
      </c>
      <c r="E6" s="100">
        <v>56.2</v>
      </c>
      <c r="F6" s="101">
        <v>3.3</v>
      </c>
      <c r="G6" s="100"/>
      <c r="H6" s="100">
        <v>7.3</v>
      </c>
      <c r="I6" s="100"/>
      <c r="J6" s="100"/>
      <c r="K6" s="100"/>
      <c r="L6" s="101">
        <v>3.7</v>
      </c>
      <c r="M6" s="99">
        <f t="shared" ref="M6:M38" si="0">F6+G6+H6+I6+J6+K6+L6</f>
        <v>14.3</v>
      </c>
      <c r="N6" s="108" t="s">
        <v>192</v>
      </c>
      <c r="O6" s="17" t="str">
        <f>'[1]TABLA RESUMEN'!$W$357</f>
        <v>VS AP</v>
      </c>
      <c r="P6" s="28">
        <f>'[1]TABLA RESUMEN'!$X$357</f>
        <v>250</v>
      </c>
      <c r="Q6" s="26">
        <f>7+36</f>
        <v>43</v>
      </c>
      <c r="R6" s="27">
        <f t="shared" ref="R6:R38" si="1">($O$42*P6*Q6)/1000</f>
        <v>8.6</v>
      </c>
      <c r="S6" s="80">
        <f t="shared" ref="S6:S38" si="2">R6</f>
        <v>8.6</v>
      </c>
      <c r="T6" s="34">
        <f t="shared" ref="T6:T38" si="3">S6*$O$42</f>
        <v>6.88</v>
      </c>
      <c r="U6" s="29">
        <f t="shared" ref="U6:U38" si="4">Q6</f>
        <v>43</v>
      </c>
      <c r="V6" s="63" t="s">
        <v>137</v>
      </c>
      <c r="W6" s="60" t="s">
        <v>134</v>
      </c>
      <c r="X6" s="82">
        <v>12.1</v>
      </c>
      <c r="Y6" s="60">
        <v>65</v>
      </c>
      <c r="Z6" s="60">
        <v>0.81</v>
      </c>
      <c r="AA6" s="60">
        <v>58</v>
      </c>
      <c r="AB6" s="60" t="s">
        <v>135</v>
      </c>
      <c r="AC6" s="60" t="s">
        <v>138</v>
      </c>
      <c r="AD6" s="60">
        <v>51</v>
      </c>
      <c r="AE6" s="27">
        <f t="shared" ref="AE6:AE38" si="5">(U6*AD6)/1000</f>
        <v>2.1930000000000001</v>
      </c>
      <c r="AF6" s="34">
        <f t="shared" ref="AF6:AF38" si="6">U6*AD6</f>
        <v>2193</v>
      </c>
      <c r="AG6" s="81"/>
      <c r="AH6" s="27">
        <v>356.8</v>
      </c>
      <c r="AI6" s="27">
        <f t="shared" ref="AI6:AI38" si="7">U6*AH6</f>
        <v>15342.4</v>
      </c>
      <c r="AK6" s="52">
        <f t="shared" ref="AK6:AL38" si="8">U6</f>
        <v>43</v>
      </c>
      <c r="AL6" s="45" t="str">
        <f t="shared" si="8"/>
        <v>Estudio 1</v>
      </c>
      <c r="AM6" s="45">
        <f t="shared" ref="AM6:AM38" si="9">(T6-AE6)*$AD$41</f>
        <v>18841.739999999998</v>
      </c>
      <c r="AN6" s="44">
        <f t="shared" ref="AN6:AN38" si="10">(S6-AE6)*365</f>
        <v>2338.5549999999998</v>
      </c>
      <c r="AO6" s="53">
        <f t="shared" ref="AO6:AO38" si="11">100%-(AE6/T6)</f>
        <v>0.68124999999999991</v>
      </c>
      <c r="AP6" s="45">
        <f t="shared" ref="AP6:AP38" si="12">(AM6*$AM$46)+(AN6*$AM$47)</f>
        <v>2918.4702000000002</v>
      </c>
      <c r="AQ6" s="44">
        <f t="shared" ref="AQ6:AQ38" si="13">AI6</f>
        <v>15342.4</v>
      </c>
      <c r="AR6" s="44">
        <f t="shared" ref="AR6:AR39" si="14">AQ6/AP6</f>
        <v>5.2570007396340719</v>
      </c>
    </row>
    <row r="7" spans="1:44" ht="45.75" thickBot="1">
      <c r="A7" s="99">
        <v>357</v>
      </c>
      <c r="B7" s="99" t="s">
        <v>85</v>
      </c>
      <c r="C7" s="99" t="s">
        <v>61</v>
      </c>
      <c r="D7" s="99">
        <v>6.2</v>
      </c>
      <c r="E7" s="99">
        <v>18</v>
      </c>
      <c r="F7" s="102">
        <v>0.96</v>
      </c>
      <c r="G7" s="99"/>
      <c r="H7" s="99">
        <v>4.5</v>
      </c>
      <c r="I7" s="99"/>
      <c r="J7" s="99"/>
      <c r="K7" s="99"/>
      <c r="L7" s="102"/>
      <c r="M7" s="99">
        <f t="shared" si="0"/>
        <v>5.46</v>
      </c>
      <c r="N7" s="108" t="s">
        <v>193</v>
      </c>
      <c r="O7" s="17" t="str">
        <f>'[1]TABLA RESUMEN'!$W$246</f>
        <v>VS AP</v>
      </c>
      <c r="P7" s="28">
        <f>'[1]TABLA RESUMEN'!$X$246</f>
        <v>70</v>
      </c>
      <c r="Q7" s="26">
        <f>4+4+4+5+8+6+5+1+4+5+4+13+6+14+12+8+10+6+6+4+3+3+5+3+10+10+2+7+9+3+7+3+1+9+8+7+6+3+10+5+4+17+16+10+8+11+7+6+10+1+18+6</f>
        <v>357</v>
      </c>
      <c r="R7" s="27">
        <f t="shared" si="1"/>
        <v>19.992000000000001</v>
      </c>
      <c r="S7" s="80">
        <f t="shared" si="2"/>
        <v>19.992000000000001</v>
      </c>
      <c r="T7" s="34">
        <f t="shared" si="3"/>
        <v>15.993600000000001</v>
      </c>
      <c r="U7" s="29">
        <f t="shared" si="4"/>
        <v>357</v>
      </c>
      <c r="V7" s="63" t="s">
        <v>145</v>
      </c>
      <c r="W7" s="60" t="s">
        <v>140</v>
      </c>
      <c r="X7" s="60">
        <v>70.7</v>
      </c>
      <c r="Y7" s="60">
        <v>70</v>
      </c>
      <c r="Z7" s="60"/>
      <c r="AA7" s="60"/>
      <c r="AB7" s="60" t="s">
        <v>135</v>
      </c>
      <c r="AC7" s="60" t="s">
        <v>141</v>
      </c>
      <c r="AD7" s="60">
        <v>20</v>
      </c>
      <c r="AE7" s="27">
        <f t="shared" si="5"/>
        <v>7.14</v>
      </c>
      <c r="AF7" s="34">
        <f t="shared" si="6"/>
        <v>7140</v>
      </c>
      <c r="AG7" s="81"/>
      <c r="AH7" s="27">
        <v>310.89999999999998</v>
      </c>
      <c r="AI7" s="27">
        <f t="shared" si="7"/>
        <v>110991.29999999999</v>
      </c>
      <c r="AK7" s="52">
        <f t="shared" si="8"/>
        <v>357</v>
      </c>
      <c r="AL7" s="45" t="str">
        <f t="shared" si="8"/>
        <v>Estudio 8</v>
      </c>
      <c r="AM7" s="45">
        <f t="shared" si="9"/>
        <v>35591.472000000002</v>
      </c>
      <c r="AN7" s="44">
        <f t="shared" si="10"/>
        <v>4690.9800000000005</v>
      </c>
      <c r="AO7" s="53">
        <f t="shared" si="11"/>
        <v>0.5535714285714286</v>
      </c>
      <c r="AP7" s="45">
        <f t="shared" si="12"/>
        <v>5545.7236800000001</v>
      </c>
      <c r="AQ7" s="44">
        <f t="shared" si="13"/>
        <v>110991.29999999999</v>
      </c>
      <c r="AR7" s="44">
        <f t="shared" si="14"/>
        <v>20.013853268650411</v>
      </c>
    </row>
    <row r="8" spans="1:44" ht="108.75" customHeight="1" thickBot="1">
      <c r="A8" s="99">
        <v>969</v>
      </c>
      <c r="B8" s="99" t="s">
        <v>86</v>
      </c>
      <c r="C8" s="99" t="s">
        <v>61</v>
      </c>
      <c r="D8" s="99">
        <v>6</v>
      </c>
      <c r="E8" s="99">
        <v>16</v>
      </c>
      <c r="F8" s="102">
        <v>1.5</v>
      </c>
      <c r="G8" s="99">
        <v>1.8</v>
      </c>
      <c r="H8" s="99">
        <v>3.3</v>
      </c>
      <c r="I8" s="99"/>
      <c r="J8" s="99"/>
      <c r="K8" s="99">
        <v>1.8</v>
      </c>
      <c r="L8" s="102">
        <v>1.5</v>
      </c>
      <c r="M8" s="99">
        <f t="shared" si="0"/>
        <v>9.9</v>
      </c>
      <c r="N8" s="108" t="s">
        <v>194</v>
      </c>
      <c r="O8" s="17" t="str">
        <f>'[1]TABLA RESUMEN'!$W$16</f>
        <v>VS AP</v>
      </c>
      <c r="P8" s="28">
        <f>'[1]TABLA RESUMEN'!$X$16</f>
        <v>100</v>
      </c>
      <c r="Q8" s="26">
        <f>4+8+5+7+7+7+5+4+20+5+6+4+8+4+3+19+8+8+13+15+10+6+17+5+26+8+5+19+7+13+8+9+8+4+5+2+17+8+3+13+18+4+18+7+6+10+8+26+15+8+5+17+4+4+6+10+4+7+4+10+3+10+5+3+7+8+9+3+7+14+7+5+2+11+18+5+7+3+8+7+1+14+8+7+4+12+1+9+5+4+5+7+12+15+8+2+12+4+2+8+9+3+3+3+8+16+2+5+11+3+5+14+5+4+7+5+9+4+7+2+8+10</f>
        <v>969</v>
      </c>
      <c r="R8" s="27">
        <f t="shared" si="1"/>
        <v>77.52</v>
      </c>
      <c r="S8" s="80">
        <f t="shared" si="2"/>
        <v>77.52</v>
      </c>
      <c r="T8" s="34">
        <f t="shared" si="3"/>
        <v>62.015999999999998</v>
      </c>
      <c r="U8" s="29">
        <f t="shared" si="4"/>
        <v>969</v>
      </c>
      <c r="V8" s="64" t="s">
        <v>139</v>
      </c>
      <c r="W8" s="60" t="s">
        <v>140</v>
      </c>
      <c r="X8" s="60">
        <v>8.6999999999999993</v>
      </c>
      <c r="Y8" s="60">
        <v>79</v>
      </c>
      <c r="Z8" s="60"/>
      <c r="AA8" s="60"/>
      <c r="AB8" s="60" t="s">
        <v>135</v>
      </c>
      <c r="AC8" s="60" t="s">
        <v>141</v>
      </c>
      <c r="AD8" s="60">
        <v>20</v>
      </c>
      <c r="AE8" s="27">
        <f t="shared" si="5"/>
        <v>19.38</v>
      </c>
      <c r="AF8" s="34">
        <f t="shared" si="6"/>
        <v>19380</v>
      </c>
      <c r="AG8" s="81"/>
      <c r="AH8" s="27">
        <v>310.89999999999998</v>
      </c>
      <c r="AI8" s="27">
        <f t="shared" si="7"/>
        <v>301262.09999999998</v>
      </c>
      <c r="AK8" s="52">
        <f t="shared" si="8"/>
        <v>969</v>
      </c>
      <c r="AL8" s="45" t="str">
        <f t="shared" si="8"/>
        <v>Estudio 2</v>
      </c>
      <c r="AM8" s="45">
        <f t="shared" si="9"/>
        <v>171396.71999999997</v>
      </c>
      <c r="AN8" s="44">
        <f t="shared" si="10"/>
        <v>21221.1</v>
      </c>
      <c r="AO8" s="53">
        <f t="shared" si="11"/>
        <v>0.6875</v>
      </c>
      <c r="AP8" s="45">
        <f t="shared" si="12"/>
        <v>26542.072799999998</v>
      </c>
      <c r="AQ8" s="44">
        <f t="shared" si="13"/>
        <v>301262.09999999998</v>
      </c>
      <c r="AR8" s="44">
        <f t="shared" si="14"/>
        <v>11.350360699786792</v>
      </c>
    </row>
    <row r="9" spans="1:44" ht="45.75" thickBot="1">
      <c r="A9" s="99">
        <v>432</v>
      </c>
      <c r="B9" s="99" t="s">
        <v>87</v>
      </c>
      <c r="C9" s="99" t="s">
        <v>61</v>
      </c>
      <c r="D9" s="99">
        <v>6.7</v>
      </c>
      <c r="E9" s="99">
        <v>20</v>
      </c>
      <c r="F9" s="102"/>
      <c r="G9" s="99"/>
      <c r="H9" s="99"/>
      <c r="I9" s="99"/>
      <c r="J9" s="99"/>
      <c r="K9" s="99"/>
      <c r="L9" s="102"/>
      <c r="M9" s="99">
        <f t="shared" si="0"/>
        <v>0</v>
      </c>
      <c r="N9" s="108" t="s">
        <v>195</v>
      </c>
      <c r="O9" s="17" t="s">
        <v>70</v>
      </c>
      <c r="P9" s="28">
        <v>150</v>
      </c>
      <c r="Q9" s="26">
        <f>2+10+26+8+7+15+8+2+4+26+20+8+8+7+5+6+5+26+2+7+2+10+16+6+3+8+18+6+3+7+3+3+2+9+24+38+11+13+2+10+12+2+8+14</f>
        <v>432</v>
      </c>
      <c r="R9" s="27">
        <f t="shared" si="1"/>
        <v>51.84</v>
      </c>
      <c r="S9" s="80">
        <f t="shared" si="2"/>
        <v>51.84</v>
      </c>
      <c r="T9" s="34">
        <f t="shared" si="3"/>
        <v>41.472000000000008</v>
      </c>
      <c r="U9" s="29">
        <f t="shared" si="4"/>
        <v>432</v>
      </c>
      <c r="V9" s="64" t="s">
        <v>143</v>
      </c>
      <c r="W9" s="60" t="s">
        <v>140</v>
      </c>
      <c r="X9" s="60">
        <v>8.3000000000000007</v>
      </c>
      <c r="Y9" s="60">
        <v>70</v>
      </c>
      <c r="Z9" s="60"/>
      <c r="AA9" s="60"/>
      <c r="AB9" s="60" t="s">
        <v>135</v>
      </c>
      <c r="AC9" s="60" t="s">
        <v>142</v>
      </c>
      <c r="AD9" s="60">
        <v>26</v>
      </c>
      <c r="AE9" s="27">
        <f t="shared" si="5"/>
        <v>11.231999999999999</v>
      </c>
      <c r="AF9" s="34">
        <f t="shared" si="6"/>
        <v>11232</v>
      </c>
      <c r="AG9" s="81"/>
      <c r="AH9" s="27">
        <v>318.89999999999998</v>
      </c>
      <c r="AI9" s="27">
        <f t="shared" si="7"/>
        <v>137764.79999999999</v>
      </c>
      <c r="AK9" s="52">
        <f t="shared" si="8"/>
        <v>432</v>
      </c>
      <c r="AL9" s="45" t="str">
        <f t="shared" si="8"/>
        <v>Estudio 3</v>
      </c>
      <c r="AM9" s="45">
        <f t="shared" si="9"/>
        <v>121564.80000000003</v>
      </c>
      <c r="AN9" s="44">
        <f t="shared" si="10"/>
        <v>14821.920000000002</v>
      </c>
      <c r="AO9" s="53">
        <f t="shared" si="11"/>
        <v>0.72916666666666674</v>
      </c>
      <c r="AP9" s="45">
        <f t="shared" si="12"/>
        <v>18797.702400000009</v>
      </c>
      <c r="AQ9" s="44">
        <f t="shared" si="13"/>
        <v>137764.79999999999</v>
      </c>
      <c r="AR9" s="44">
        <f t="shared" si="14"/>
        <v>7.3288105678276896</v>
      </c>
    </row>
    <row r="10" spans="1:44" ht="30.75" thickBot="1">
      <c r="A10" s="99">
        <v>246</v>
      </c>
      <c r="B10" s="99" t="s">
        <v>88</v>
      </c>
      <c r="C10" s="99" t="s">
        <v>61</v>
      </c>
      <c r="D10" s="99">
        <v>6</v>
      </c>
      <c r="E10" s="99">
        <v>28</v>
      </c>
      <c r="F10" s="102">
        <v>2.2999999999999998</v>
      </c>
      <c r="G10" s="99"/>
      <c r="H10" s="99">
        <v>2.85</v>
      </c>
      <c r="I10" s="99"/>
      <c r="J10" s="99">
        <v>2.85</v>
      </c>
      <c r="K10" s="99"/>
      <c r="L10" s="102"/>
      <c r="M10" s="99">
        <f t="shared" si="0"/>
        <v>8</v>
      </c>
      <c r="N10" s="108" t="s">
        <v>196</v>
      </c>
      <c r="O10" s="17" t="str">
        <f>'[1]TABLA RESUMEN'!$W$13</f>
        <v>V HG</v>
      </c>
      <c r="P10" s="28">
        <f>'[1]TABLA RESUMEN'!$X$13</f>
        <v>125</v>
      </c>
      <c r="Q10" s="26">
        <f>5+6+6+9+8+5+8+4+7+3+9+7+7+6+6+9+3+7+2+7+2+13+7+18+19+3+7+4+4+6+6+7+4+11+6+5</f>
        <v>246</v>
      </c>
      <c r="R10" s="27">
        <f t="shared" si="1"/>
        <v>24.6</v>
      </c>
      <c r="S10" s="80">
        <f t="shared" si="2"/>
        <v>24.6</v>
      </c>
      <c r="T10" s="34">
        <f t="shared" si="3"/>
        <v>19.680000000000003</v>
      </c>
      <c r="U10" s="29">
        <f t="shared" si="4"/>
        <v>246</v>
      </c>
      <c r="V10" s="66" t="s">
        <v>146</v>
      </c>
      <c r="W10" s="60" t="s">
        <v>140</v>
      </c>
      <c r="X10" s="82">
        <v>8.9</v>
      </c>
      <c r="Y10" s="60">
        <v>27</v>
      </c>
      <c r="Z10" s="60"/>
      <c r="AA10" s="60"/>
      <c r="AB10" s="60" t="s">
        <v>135</v>
      </c>
      <c r="AC10" s="60" t="s">
        <v>147</v>
      </c>
      <c r="AD10" s="60">
        <v>26</v>
      </c>
      <c r="AE10" s="27">
        <f t="shared" si="5"/>
        <v>6.3959999999999999</v>
      </c>
      <c r="AF10" s="34">
        <f t="shared" si="6"/>
        <v>6396</v>
      </c>
      <c r="AG10" s="81"/>
      <c r="AH10" s="27">
        <v>318.7</v>
      </c>
      <c r="AI10" s="27">
        <f t="shared" si="7"/>
        <v>78400.2</v>
      </c>
      <c r="AK10" s="52">
        <f t="shared" si="8"/>
        <v>246</v>
      </c>
      <c r="AL10" s="45" t="str">
        <f t="shared" si="8"/>
        <v>Estudio 9</v>
      </c>
      <c r="AM10" s="45">
        <f t="shared" si="9"/>
        <v>53401.680000000008</v>
      </c>
      <c r="AN10" s="44">
        <f t="shared" si="10"/>
        <v>6644.46</v>
      </c>
      <c r="AO10" s="53">
        <f t="shared" si="11"/>
        <v>0.67500000000000004</v>
      </c>
      <c r="AP10" s="45">
        <f t="shared" si="12"/>
        <v>8273.5704000000023</v>
      </c>
      <c r="AQ10" s="44">
        <f t="shared" si="13"/>
        <v>78400.2</v>
      </c>
      <c r="AR10" s="44">
        <f t="shared" si="14"/>
        <v>9.4759814940355103</v>
      </c>
    </row>
    <row r="11" spans="1:44" ht="24" customHeight="1" thickBot="1">
      <c r="A11" s="99">
        <v>71</v>
      </c>
      <c r="B11" s="99" t="s">
        <v>89</v>
      </c>
      <c r="C11" s="99" t="s">
        <v>61</v>
      </c>
      <c r="D11" s="99">
        <v>6.5</v>
      </c>
      <c r="E11" s="99">
        <v>17</v>
      </c>
      <c r="F11" s="102">
        <v>0.8</v>
      </c>
      <c r="G11" s="99"/>
      <c r="H11" s="99">
        <v>4</v>
      </c>
      <c r="I11" s="99"/>
      <c r="J11" s="99"/>
      <c r="K11" s="99"/>
      <c r="L11" s="102"/>
      <c r="M11" s="99">
        <f t="shared" si="0"/>
        <v>4.8</v>
      </c>
      <c r="N11" s="108" t="s">
        <v>197</v>
      </c>
      <c r="O11" s="17" t="str">
        <f>'[1]TABLA RESUMEN'!$W$198</f>
        <v>V HG</v>
      </c>
      <c r="P11" s="28">
        <f>'[1]TABLA RESUMEN'!$X$198</f>
        <v>125</v>
      </c>
      <c r="Q11" s="26">
        <f>2+5+4+3+1+3+4+6+4+2+3+8+5+6+6+3+6</f>
        <v>71</v>
      </c>
      <c r="R11" s="27">
        <f t="shared" si="1"/>
        <v>7.1</v>
      </c>
      <c r="S11" s="80">
        <f t="shared" si="2"/>
        <v>7.1</v>
      </c>
      <c r="T11" s="34">
        <f t="shared" si="3"/>
        <v>5.68</v>
      </c>
      <c r="U11" s="29">
        <f t="shared" si="4"/>
        <v>71</v>
      </c>
      <c r="V11" s="66" t="s">
        <v>148</v>
      </c>
      <c r="W11" s="60" t="s">
        <v>140</v>
      </c>
      <c r="X11" s="82">
        <v>7.5</v>
      </c>
      <c r="Y11" s="60">
        <v>75</v>
      </c>
      <c r="Z11" s="60"/>
      <c r="AA11" s="60"/>
      <c r="AB11" s="60" t="s">
        <v>135</v>
      </c>
      <c r="AC11" s="60" t="s">
        <v>141</v>
      </c>
      <c r="AD11" s="60">
        <v>20</v>
      </c>
      <c r="AE11" s="27">
        <f t="shared" si="5"/>
        <v>1.42</v>
      </c>
      <c r="AF11" s="34">
        <f t="shared" si="6"/>
        <v>1420</v>
      </c>
      <c r="AG11" s="81"/>
      <c r="AH11" s="27">
        <v>310.89999999999998</v>
      </c>
      <c r="AI11" s="27">
        <f t="shared" si="7"/>
        <v>22073.899999999998</v>
      </c>
      <c r="AK11" s="52">
        <f t="shared" si="8"/>
        <v>71</v>
      </c>
      <c r="AL11" s="45" t="str">
        <f t="shared" si="8"/>
        <v>Estudio 11</v>
      </c>
      <c r="AM11" s="45">
        <f t="shared" si="9"/>
        <v>17125.2</v>
      </c>
      <c r="AN11" s="44">
        <f t="shared" si="10"/>
        <v>2073.1999999999998</v>
      </c>
      <c r="AO11" s="53">
        <f t="shared" si="11"/>
        <v>0.75</v>
      </c>
      <c r="AP11" s="45">
        <f t="shared" si="12"/>
        <v>2646.3120000000004</v>
      </c>
      <c r="AQ11" s="44">
        <f t="shared" si="13"/>
        <v>22073.899999999998</v>
      </c>
      <c r="AR11" s="44">
        <f t="shared" si="14"/>
        <v>8.3413822708735754</v>
      </c>
    </row>
    <row r="12" spans="1:44" ht="18.75" customHeight="1" thickBot="1">
      <c r="A12" s="99">
        <v>59</v>
      </c>
      <c r="B12" s="99" t="s">
        <v>90</v>
      </c>
      <c r="C12" s="99" t="s">
        <v>66</v>
      </c>
      <c r="D12" s="99">
        <v>4.4000000000000004</v>
      </c>
      <c r="E12" s="99">
        <v>19</v>
      </c>
      <c r="F12" s="102">
        <v>1.5</v>
      </c>
      <c r="G12" s="99">
        <v>1.8</v>
      </c>
      <c r="H12" s="99">
        <f>8.9-1.8*2</f>
        <v>5.3000000000000007</v>
      </c>
      <c r="I12" s="99"/>
      <c r="J12" s="99"/>
      <c r="K12" s="99">
        <v>1.8</v>
      </c>
      <c r="L12" s="102">
        <v>1.5</v>
      </c>
      <c r="M12" s="99">
        <f t="shared" si="0"/>
        <v>11.900000000000002</v>
      </c>
      <c r="N12" s="108" t="s">
        <v>198</v>
      </c>
      <c r="O12" s="17" t="str">
        <f>'[1]TABLA RESUMEN'!$W$154</f>
        <v>V HG</v>
      </c>
      <c r="P12" s="28">
        <f>'[1]TABLA RESUMEN'!$X$154</f>
        <v>125</v>
      </c>
      <c r="Q12" s="26">
        <f>6+8+3+3+7+3+7+12+10</f>
        <v>59</v>
      </c>
      <c r="R12" s="27">
        <f t="shared" si="1"/>
        <v>5.9</v>
      </c>
      <c r="S12" s="80">
        <f t="shared" si="2"/>
        <v>5.9</v>
      </c>
      <c r="T12" s="34">
        <f t="shared" si="3"/>
        <v>4.7200000000000006</v>
      </c>
      <c r="U12" s="29">
        <f t="shared" si="4"/>
        <v>59</v>
      </c>
      <c r="V12" s="65" t="s">
        <v>149</v>
      </c>
      <c r="W12" s="60" t="s">
        <v>140</v>
      </c>
      <c r="X12" s="82">
        <v>15.4</v>
      </c>
      <c r="Y12" s="60">
        <v>67</v>
      </c>
      <c r="Z12" s="60"/>
      <c r="AA12" s="60"/>
      <c r="AB12" s="60" t="s">
        <v>135</v>
      </c>
      <c r="AC12" s="60" t="s">
        <v>141</v>
      </c>
      <c r="AD12" s="60">
        <v>20</v>
      </c>
      <c r="AE12" s="27">
        <f t="shared" si="5"/>
        <v>1.18</v>
      </c>
      <c r="AF12" s="34">
        <f t="shared" si="6"/>
        <v>1180</v>
      </c>
      <c r="AG12" s="81"/>
      <c r="AH12" s="27">
        <v>310.89999999999998</v>
      </c>
      <c r="AI12" s="27">
        <f t="shared" si="7"/>
        <v>18343.099999999999</v>
      </c>
      <c r="AJ12" s="35" t="s">
        <v>159</v>
      </c>
      <c r="AK12" s="52">
        <f t="shared" si="8"/>
        <v>59</v>
      </c>
      <c r="AL12" s="45" t="str">
        <f t="shared" si="8"/>
        <v>Estudio 6</v>
      </c>
      <c r="AM12" s="45">
        <f t="shared" si="9"/>
        <v>14230.800000000003</v>
      </c>
      <c r="AN12" s="44">
        <f t="shared" si="10"/>
        <v>1722.8000000000002</v>
      </c>
      <c r="AO12" s="53">
        <f t="shared" si="11"/>
        <v>0.75</v>
      </c>
      <c r="AP12" s="45">
        <f t="shared" si="12"/>
        <v>2199.0480000000007</v>
      </c>
      <c r="AQ12" s="44">
        <f t="shared" si="13"/>
        <v>18343.099999999999</v>
      </c>
      <c r="AR12" s="44">
        <f t="shared" si="14"/>
        <v>8.3413822708735754</v>
      </c>
    </row>
    <row r="13" spans="1:44" ht="26.25" customHeight="1" thickBot="1">
      <c r="A13" s="99">
        <v>61</v>
      </c>
      <c r="B13" s="99" t="s">
        <v>91</v>
      </c>
      <c r="C13" s="99" t="s">
        <v>61</v>
      </c>
      <c r="D13" s="100">
        <v>6</v>
      </c>
      <c r="E13" s="100">
        <v>30</v>
      </c>
      <c r="F13" s="101">
        <v>0.8</v>
      </c>
      <c r="G13" s="100"/>
      <c r="H13" s="100">
        <v>4.4000000000000004</v>
      </c>
      <c r="I13" s="100"/>
      <c r="J13" s="100"/>
      <c r="K13" s="100"/>
      <c r="L13" s="101">
        <v>0.8</v>
      </c>
      <c r="M13" s="99">
        <f t="shared" si="0"/>
        <v>6</v>
      </c>
      <c r="N13" s="108" t="s">
        <v>199</v>
      </c>
      <c r="O13" s="17" t="str">
        <f>'[1]TABLA RESUMEN'!$W$309</f>
        <v>V HG</v>
      </c>
      <c r="P13" s="28">
        <f>'[1]TABLA RESUMEN'!$X$309</f>
        <v>125</v>
      </c>
      <c r="Q13" s="26">
        <f>4+6+5+8+4+11+4+15+4</f>
        <v>61</v>
      </c>
      <c r="R13" s="27">
        <f t="shared" si="1"/>
        <v>6.1</v>
      </c>
      <c r="S13" s="80">
        <f t="shared" si="2"/>
        <v>6.1</v>
      </c>
      <c r="T13" s="34">
        <f t="shared" si="3"/>
        <v>4.88</v>
      </c>
      <c r="U13" s="29">
        <f t="shared" si="4"/>
        <v>61</v>
      </c>
      <c r="V13" s="67" t="s">
        <v>150</v>
      </c>
      <c r="W13" s="60" t="s">
        <v>140</v>
      </c>
      <c r="X13" s="82">
        <v>88.3</v>
      </c>
      <c r="Y13" s="60">
        <v>27</v>
      </c>
      <c r="Z13" s="60"/>
      <c r="AA13" s="60"/>
      <c r="AB13" s="60" t="s">
        <v>135</v>
      </c>
      <c r="AC13" s="60" t="s">
        <v>147</v>
      </c>
      <c r="AD13" s="60">
        <v>26</v>
      </c>
      <c r="AE13" s="27">
        <f t="shared" si="5"/>
        <v>1.5860000000000001</v>
      </c>
      <c r="AF13" s="34">
        <f t="shared" si="6"/>
        <v>1586</v>
      </c>
      <c r="AG13" s="81"/>
      <c r="AH13" s="27">
        <v>318.7</v>
      </c>
      <c r="AI13" s="27">
        <f t="shared" si="7"/>
        <v>19440.7</v>
      </c>
      <c r="AK13" s="52">
        <f t="shared" si="8"/>
        <v>61</v>
      </c>
      <c r="AL13" s="45" t="str">
        <f t="shared" si="8"/>
        <v>Estudio 10</v>
      </c>
      <c r="AM13" s="45">
        <f t="shared" si="9"/>
        <v>13241.88</v>
      </c>
      <c r="AN13" s="44">
        <f t="shared" si="10"/>
        <v>1647.6099999999997</v>
      </c>
      <c r="AO13" s="53">
        <f t="shared" si="11"/>
        <v>0.67500000000000004</v>
      </c>
      <c r="AP13" s="45">
        <f t="shared" si="12"/>
        <v>2051.5763999999999</v>
      </c>
      <c r="AQ13" s="44">
        <f t="shared" si="13"/>
        <v>19440.7</v>
      </c>
      <c r="AR13" s="44">
        <f t="shared" si="14"/>
        <v>9.4759814940355138</v>
      </c>
    </row>
    <row r="14" spans="1:44" ht="15.75" thickBot="1">
      <c r="A14" s="99">
        <v>82</v>
      </c>
      <c r="B14" s="99" t="s">
        <v>92</v>
      </c>
      <c r="C14" s="99" t="s">
        <v>61</v>
      </c>
      <c r="D14" s="99">
        <v>8.9</v>
      </c>
      <c r="E14" s="99">
        <v>30</v>
      </c>
      <c r="F14" s="102">
        <v>2.1</v>
      </c>
      <c r="G14" s="99"/>
      <c r="H14" s="99">
        <v>7.8</v>
      </c>
      <c r="I14" s="99"/>
      <c r="J14" s="99"/>
      <c r="K14" s="99"/>
      <c r="L14" s="102">
        <v>2.1</v>
      </c>
      <c r="M14" s="99">
        <f t="shared" si="0"/>
        <v>12</v>
      </c>
      <c r="N14" s="108" t="s">
        <v>200</v>
      </c>
      <c r="O14" s="17" t="str">
        <f>'[1]TABLA RESUMEN'!$W$249</f>
        <v>VS AP</v>
      </c>
      <c r="P14" s="28">
        <f>'[1]TABLA RESUMEN'!$X$249</f>
        <v>100</v>
      </c>
      <c r="Q14" s="26">
        <f>12+16+3+7+7+7+6+6+18</f>
        <v>82</v>
      </c>
      <c r="R14" s="27">
        <f t="shared" si="1"/>
        <v>6.56</v>
      </c>
      <c r="S14" s="80">
        <f t="shared" si="2"/>
        <v>6.56</v>
      </c>
      <c r="T14" s="34">
        <f t="shared" si="3"/>
        <v>5.2480000000000002</v>
      </c>
      <c r="U14" s="29">
        <f t="shared" si="4"/>
        <v>82</v>
      </c>
      <c r="V14" s="68" t="s">
        <v>144</v>
      </c>
      <c r="W14" s="60" t="s">
        <v>140</v>
      </c>
      <c r="X14" s="60">
        <v>9</v>
      </c>
      <c r="Y14" s="60">
        <v>64</v>
      </c>
      <c r="Z14" s="60"/>
      <c r="AA14" s="60"/>
      <c r="AB14" s="60" t="s">
        <v>135</v>
      </c>
      <c r="AC14" s="60" t="s">
        <v>136</v>
      </c>
      <c r="AD14" s="60">
        <v>51</v>
      </c>
      <c r="AE14" s="27">
        <f t="shared" si="5"/>
        <v>4.1820000000000004</v>
      </c>
      <c r="AF14" s="34">
        <f t="shared" si="6"/>
        <v>4182</v>
      </c>
      <c r="AG14" s="81"/>
      <c r="AH14" s="27">
        <v>344.56</v>
      </c>
      <c r="AI14" s="27">
        <f t="shared" si="7"/>
        <v>28253.920000000002</v>
      </c>
      <c r="AK14" s="52">
        <f t="shared" si="8"/>
        <v>82</v>
      </c>
      <c r="AL14" s="45" t="str">
        <f t="shared" si="8"/>
        <v>Estudio 4</v>
      </c>
      <c r="AM14" s="45">
        <f t="shared" si="9"/>
        <v>4285.32</v>
      </c>
      <c r="AN14" s="44">
        <f t="shared" si="10"/>
        <v>867.96999999999969</v>
      </c>
      <c r="AO14" s="53">
        <f t="shared" si="11"/>
        <v>0.203125</v>
      </c>
      <c r="AP14" s="45">
        <f t="shared" si="12"/>
        <v>704.10119999999995</v>
      </c>
      <c r="AQ14" s="44">
        <f t="shared" si="13"/>
        <v>28253.920000000002</v>
      </c>
      <c r="AR14" s="44">
        <f t="shared" si="14"/>
        <v>40.127640742552352</v>
      </c>
    </row>
    <row r="15" spans="1:44" ht="24.75" thickBot="1">
      <c r="A15" s="99">
        <f>'[1]TABLA RESUMEN'!$C$25</f>
        <v>257</v>
      </c>
      <c r="B15" s="99" t="s">
        <v>93</v>
      </c>
      <c r="C15" s="99" t="s">
        <v>66</v>
      </c>
      <c r="D15" s="99">
        <v>10</v>
      </c>
      <c r="E15" s="99">
        <v>39</v>
      </c>
      <c r="F15" s="102">
        <v>0.9</v>
      </c>
      <c r="G15" s="99"/>
      <c r="H15" s="99">
        <v>8</v>
      </c>
      <c r="I15" s="99">
        <v>2</v>
      </c>
      <c r="J15" s="99">
        <v>7.9</v>
      </c>
      <c r="K15" s="99"/>
      <c r="L15" s="102"/>
      <c r="M15" s="99">
        <f t="shared" si="0"/>
        <v>18.8</v>
      </c>
      <c r="N15" s="109" t="s">
        <v>211</v>
      </c>
      <c r="O15" s="17" t="str">
        <f>'[1]TABLA RESUMEN'!$W$25</f>
        <v>VS AP</v>
      </c>
      <c r="P15" s="28">
        <f>'[1]TABLA RESUMEN'!$X$25</f>
        <v>250</v>
      </c>
      <c r="Q15" s="26">
        <f>A15</f>
        <v>257</v>
      </c>
      <c r="R15" s="27">
        <f t="shared" si="1"/>
        <v>51.4</v>
      </c>
      <c r="S15" s="80">
        <f t="shared" si="2"/>
        <v>51.4</v>
      </c>
      <c r="T15" s="34">
        <f t="shared" si="3"/>
        <v>41.120000000000005</v>
      </c>
      <c r="U15" s="29">
        <f t="shared" si="4"/>
        <v>257</v>
      </c>
      <c r="V15" s="62" t="s">
        <v>151</v>
      </c>
      <c r="W15" s="60" t="s">
        <v>140</v>
      </c>
      <c r="X15" s="60">
        <v>9.1</v>
      </c>
      <c r="Y15" s="60">
        <v>50</v>
      </c>
      <c r="Z15" s="60"/>
      <c r="AA15" s="60"/>
      <c r="AB15" s="60" t="s">
        <v>135</v>
      </c>
      <c r="AC15" s="60" t="s">
        <v>136</v>
      </c>
      <c r="AD15" s="60">
        <v>51</v>
      </c>
      <c r="AE15" s="27">
        <f t="shared" si="5"/>
        <v>13.106999999999999</v>
      </c>
      <c r="AF15" s="34">
        <f t="shared" si="6"/>
        <v>13107</v>
      </c>
      <c r="AG15" s="81"/>
      <c r="AH15" s="27">
        <v>344.56</v>
      </c>
      <c r="AI15" s="27">
        <f t="shared" si="7"/>
        <v>88551.92</v>
      </c>
      <c r="AJ15" s="90"/>
      <c r="AK15" s="52">
        <f t="shared" si="8"/>
        <v>257</v>
      </c>
      <c r="AL15" s="45" t="str">
        <f t="shared" si="8"/>
        <v>Estudio 15</v>
      </c>
      <c r="AM15" s="45">
        <f t="shared" si="9"/>
        <v>112612.26000000002</v>
      </c>
      <c r="AN15" s="44">
        <f t="shared" si="10"/>
        <v>13976.945</v>
      </c>
      <c r="AO15" s="53">
        <f t="shared" si="11"/>
        <v>0.68125000000000013</v>
      </c>
      <c r="AP15" s="45">
        <f t="shared" si="12"/>
        <v>17442.949800000006</v>
      </c>
      <c r="AQ15" s="44">
        <f t="shared" si="13"/>
        <v>88551.92</v>
      </c>
      <c r="AR15" s="44">
        <f t="shared" si="14"/>
        <v>5.0766596828708392</v>
      </c>
    </row>
    <row r="16" spans="1:44" ht="15.75" thickBot="1">
      <c r="A16" s="99">
        <f>70+186+188+33</f>
        <v>477</v>
      </c>
      <c r="B16" s="100" t="s">
        <v>67</v>
      </c>
      <c r="C16" s="99" t="s">
        <v>63</v>
      </c>
      <c r="D16" s="99">
        <v>7.9</v>
      </c>
      <c r="E16" s="99">
        <v>56.1</v>
      </c>
      <c r="F16" s="102">
        <v>4.4000000000000004</v>
      </c>
      <c r="G16" s="99"/>
      <c r="H16" s="99">
        <v>8.1999999999999993</v>
      </c>
      <c r="I16" s="99">
        <v>5</v>
      </c>
      <c r="J16" s="99">
        <v>8</v>
      </c>
      <c r="K16" s="99"/>
      <c r="L16" s="102">
        <v>3</v>
      </c>
      <c r="M16" s="99">
        <f t="shared" si="0"/>
        <v>28.6</v>
      </c>
      <c r="N16" s="109" t="s">
        <v>201</v>
      </c>
      <c r="O16" s="17" t="str">
        <f>'[1]TABLA RESUMEN'!$W$453</f>
        <v>VS AP</v>
      </c>
      <c r="P16" s="28">
        <f>'[1]TABLA RESUMEN'!$X$453</f>
        <v>250</v>
      </c>
      <c r="Q16" s="26">
        <f t="shared" ref="Q16:Q38" si="15">A16</f>
        <v>477</v>
      </c>
      <c r="R16" s="27">
        <f t="shared" si="1"/>
        <v>95.4</v>
      </c>
      <c r="S16" s="80">
        <f t="shared" si="2"/>
        <v>95.4</v>
      </c>
      <c r="T16" s="34">
        <f t="shared" si="3"/>
        <v>76.320000000000007</v>
      </c>
      <c r="U16" s="29">
        <f t="shared" si="4"/>
        <v>477</v>
      </c>
      <c r="V16" s="62" t="s">
        <v>152</v>
      </c>
      <c r="W16" s="60" t="s">
        <v>134</v>
      </c>
      <c r="X16" s="60">
        <v>13.1</v>
      </c>
      <c r="Y16" s="60">
        <v>55</v>
      </c>
      <c r="Z16" s="60">
        <v>0.75</v>
      </c>
      <c r="AA16" s="60">
        <v>52</v>
      </c>
      <c r="AB16" s="60" t="s">
        <v>135</v>
      </c>
      <c r="AC16" s="60" t="s">
        <v>136</v>
      </c>
      <c r="AD16" s="60">
        <v>51</v>
      </c>
      <c r="AE16" s="27">
        <f t="shared" si="5"/>
        <v>24.327000000000002</v>
      </c>
      <c r="AF16" s="34">
        <f t="shared" si="6"/>
        <v>24327</v>
      </c>
      <c r="AG16" s="81"/>
      <c r="AH16" s="27">
        <v>344.56</v>
      </c>
      <c r="AI16" s="27">
        <f t="shared" si="7"/>
        <v>164355.12</v>
      </c>
      <c r="AK16" s="52">
        <f t="shared" si="8"/>
        <v>477</v>
      </c>
      <c r="AL16" s="45" t="str">
        <f t="shared" si="8"/>
        <v>Estudio 12</v>
      </c>
      <c r="AM16" s="45">
        <f t="shared" si="9"/>
        <v>209011.86000000004</v>
      </c>
      <c r="AN16" s="44">
        <f t="shared" si="10"/>
        <v>25941.645000000004</v>
      </c>
      <c r="AO16" s="53">
        <f t="shared" si="11"/>
        <v>0.68125000000000002</v>
      </c>
      <c r="AP16" s="45">
        <f t="shared" si="12"/>
        <v>32374.657800000008</v>
      </c>
      <c r="AQ16" s="44">
        <f t="shared" si="13"/>
        <v>164355.12</v>
      </c>
      <c r="AR16" s="44">
        <f t="shared" si="14"/>
        <v>5.0766596828708392</v>
      </c>
    </row>
    <row r="17" spans="1:44" ht="15.75" thickBot="1">
      <c r="A17" s="102">
        <f>63+33+59+46</f>
        <v>201</v>
      </c>
      <c r="B17" s="100" t="s">
        <v>75</v>
      </c>
      <c r="C17" s="99" t="s">
        <v>66</v>
      </c>
      <c r="D17" s="99">
        <v>8.6999999999999993</v>
      </c>
      <c r="E17" s="102">
        <v>50</v>
      </c>
      <c r="F17" s="99"/>
      <c r="G17" s="99">
        <v>15</v>
      </c>
      <c r="H17" s="99"/>
      <c r="I17" s="99"/>
      <c r="J17" s="103"/>
      <c r="K17" s="99"/>
      <c r="L17" s="103"/>
      <c r="M17" s="99">
        <f t="shared" si="0"/>
        <v>15</v>
      </c>
      <c r="N17" s="110" t="s">
        <v>202</v>
      </c>
      <c r="O17" s="17" t="str">
        <f>'[1]TABLA RESUMEN'!$W$455</f>
        <v>VS AP</v>
      </c>
      <c r="P17" s="28">
        <f>'[1]TABLA RESUMEN'!$X$454</f>
        <v>250</v>
      </c>
      <c r="Q17" s="26">
        <f t="shared" si="15"/>
        <v>201</v>
      </c>
      <c r="R17" s="27">
        <f t="shared" si="1"/>
        <v>40.200000000000003</v>
      </c>
      <c r="S17" s="80">
        <f t="shared" si="2"/>
        <v>40.200000000000003</v>
      </c>
      <c r="T17" s="34">
        <f t="shared" si="3"/>
        <v>32.160000000000004</v>
      </c>
      <c r="U17" s="29">
        <f t="shared" si="4"/>
        <v>201</v>
      </c>
      <c r="V17" s="62" t="s">
        <v>153</v>
      </c>
      <c r="W17" s="60" t="s">
        <v>154</v>
      </c>
      <c r="X17" s="60">
        <v>12.5</v>
      </c>
      <c r="Y17" s="60">
        <v>44</v>
      </c>
      <c r="Z17" s="60"/>
      <c r="AA17" s="60"/>
      <c r="AB17" s="60" t="s">
        <v>135</v>
      </c>
      <c r="AC17" s="60" t="s">
        <v>155</v>
      </c>
      <c r="AD17" s="60">
        <v>75</v>
      </c>
      <c r="AE17" s="27">
        <f t="shared" si="5"/>
        <v>15.074999999999999</v>
      </c>
      <c r="AF17" s="34">
        <f t="shared" si="6"/>
        <v>15075</v>
      </c>
      <c r="AG17" s="81"/>
      <c r="AH17" s="27">
        <v>412.3</v>
      </c>
      <c r="AI17" s="27">
        <f t="shared" si="7"/>
        <v>82872.3</v>
      </c>
      <c r="AK17" s="52">
        <f t="shared" si="8"/>
        <v>201</v>
      </c>
      <c r="AL17" s="45" t="str">
        <f t="shared" si="8"/>
        <v>Estudio 13</v>
      </c>
      <c r="AM17" s="45">
        <f t="shared" si="9"/>
        <v>68681.700000000012</v>
      </c>
      <c r="AN17" s="44">
        <f t="shared" si="10"/>
        <v>9170.6250000000018</v>
      </c>
      <c r="AO17" s="53">
        <f t="shared" si="11"/>
        <v>0.53125</v>
      </c>
      <c r="AP17" s="45">
        <f t="shared" si="12"/>
        <v>10715.913000000002</v>
      </c>
      <c r="AQ17" s="44">
        <f t="shared" si="13"/>
        <v>82872.3</v>
      </c>
      <c r="AR17" s="44">
        <f t="shared" si="14"/>
        <v>7.7335734248682293</v>
      </c>
    </row>
    <row r="18" spans="1:44" ht="15.75" thickBot="1">
      <c r="A18" s="102">
        <f>40+51+27</f>
        <v>118</v>
      </c>
      <c r="B18" s="100" t="s">
        <v>68</v>
      </c>
      <c r="C18" s="99" t="s">
        <v>61</v>
      </c>
      <c r="D18" s="99">
        <v>8.4</v>
      </c>
      <c r="E18" s="102">
        <v>59.6</v>
      </c>
      <c r="F18" s="99">
        <v>2.4</v>
      </c>
      <c r="G18" s="99">
        <v>15</v>
      </c>
      <c r="H18" s="99"/>
      <c r="I18" s="99"/>
      <c r="J18" s="103"/>
      <c r="K18" s="99"/>
      <c r="L18" s="103"/>
      <c r="M18" s="99">
        <f t="shared" si="0"/>
        <v>17.399999999999999</v>
      </c>
      <c r="N18" s="110" t="s">
        <v>203</v>
      </c>
      <c r="O18" s="17" t="str">
        <f>'[1]TABLA RESUMEN'!$W$456</f>
        <v>VS AP</v>
      </c>
      <c r="P18" s="28">
        <f>'[1]TABLA RESUMEN'!$X$456</f>
        <v>250</v>
      </c>
      <c r="Q18" s="26">
        <f t="shared" si="15"/>
        <v>118</v>
      </c>
      <c r="R18" s="27">
        <f t="shared" si="1"/>
        <v>23.6</v>
      </c>
      <c r="S18" s="80">
        <f t="shared" si="2"/>
        <v>23.6</v>
      </c>
      <c r="T18" s="34">
        <f t="shared" si="3"/>
        <v>18.880000000000003</v>
      </c>
      <c r="U18" s="29">
        <f t="shared" si="4"/>
        <v>118</v>
      </c>
      <c r="V18" s="60" t="s">
        <v>156</v>
      </c>
      <c r="W18" s="60" t="s">
        <v>154</v>
      </c>
      <c r="X18" s="60">
        <v>10.7</v>
      </c>
      <c r="Y18" s="60">
        <v>19</v>
      </c>
      <c r="Z18" s="60"/>
      <c r="AA18" s="60"/>
      <c r="AB18" s="60" t="s">
        <v>135</v>
      </c>
      <c r="AC18" s="60" t="s">
        <v>157</v>
      </c>
      <c r="AD18" s="60">
        <v>153</v>
      </c>
      <c r="AE18" s="27">
        <f t="shared" si="5"/>
        <v>18.053999999999998</v>
      </c>
      <c r="AF18" s="34">
        <f t="shared" si="6"/>
        <v>18054</v>
      </c>
      <c r="AG18" s="81"/>
      <c r="AH18" s="27">
        <v>598.4</v>
      </c>
      <c r="AI18" s="27">
        <f t="shared" si="7"/>
        <v>70611.199999999997</v>
      </c>
      <c r="AK18" s="52">
        <f t="shared" si="8"/>
        <v>118</v>
      </c>
      <c r="AL18" s="45" t="str">
        <f t="shared" si="8"/>
        <v>Estudio 14</v>
      </c>
      <c r="AM18" s="45">
        <f t="shared" si="9"/>
        <v>3320.5200000000164</v>
      </c>
      <c r="AN18" s="44">
        <f t="shared" si="10"/>
        <v>2024.2900000000011</v>
      </c>
      <c r="AO18" s="53">
        <f t="shared" si="11"/>
        <v>4.3750000000000178E-2</v>
      </c>
      <c r="AP18" s="45">
        <f t="shared" si="12"/>
        <v>707.78760000000239</v>
      </c>
      <c r="AQ18" s="44">
        <f t="shared" si="13"/>
        <v>70611.199999999997</v>
      </c>
      <c r="AR18" s="44">
        <f t="shared" si="14"/>
        <v>99.763262312026598</v>
      </c>
    </row>
    <row r="19" spans="1:44" ht="15.75" thickBot="1">
      <c r="A19" s="99">
        <f>8+8+8+3+6+3+6+11+3+4+1+12+2+1+7</f>
        <v>83</v>
      </c>
      <c r="B19" s="99" t="s">
        <v>76</v>
      </c>
      <c r="C19" s="99" t="s">
        <v>61</v>
      </c>
      <c r="D19" s="99">
        <v>4.46</v>
      </c>
      <c r="E19" s="99">
        <v>13.65</v>
      </c>
      <c r="F19" s="102">
        <v>0.6</v>
      </c>
      <c r="G19" s="99"/>
      <c r="H19" s="99">
        <v>4.1500000000000004</v>
      </c>
      <c r="I19" s="99"/>
      <c r="J19" s="99"/>
      <c r="K19" s="99"/>
      <c r="L19" s="102">
        <v>0.6</v>
      </c>
      <c r="M19" s="99">
        <f t="shared" si="0"/>
        <v>5.35</v>
      </c>
      <c r="N19" s="109" t="s">
        <v>204</v>
      </c>
      <c r="O19" s="17" t="str">
        <f>'[1]TABLA RESUMEN'!$W$439</f>
        <v>V HG</v>
      </c>
      <c r="P19" s="28">
        <f>'[1]TABLA RESUMEN'!$X$439</f>
        <v>125</v>
      </c>
      <c r="Q19" s="26">
        <f t="shared" si="15"/>
        <v>83</v>
      </c>
      <c r="R19" s="27">
        <f t="shared" si="1"/>
        <v>8.3000000000000007</v>
      </c>
      <c r="S19" s="80">
        <f t="shared" si="2"/>
        <v>8.3000000000000007</v>
      </c>
      <c r="T19" s="34">
        <f t="shared" si="3"/>
        <v>6.6400000000000006</v>
      </c>
      <c r="U19" s="29">
        <f t="shared" si="4"/>
        <v>83</v>
      </c>
      <c r="V19" s="60" t="s">
        <v>158</v>
      </c>
      <c r="W19" s="60" t="s">
        <v>140</v>
      </c>
      <c r="X19" s="60">
        <v>13.5</v>
      </c>
      <c r="Y19" s="60">
        <v>71</v>
      </c>
      <c r="Z19" s="60"/>
      <c r="AA19" s="60"/>
      <c r="AB19" s="60" t="s">
        <v>135</v>
      </c>
      <c r="AC19" s="60" t="s">
        <v>141</v>
      </c>
      <c r="AD19" s="60">
        <v>20</v>
      </c>
      <c r="AE19" s="27">
        <f t="shared" si="5"/>
        <v>1.66</v>
      </c>
      <c r="AF19" s="34">
        <f t="shared" si="6"/>
        <v>1660</v>
      </c>
      <c r="AG19" s="81"/>
      <c r="AH19" s="27">
        <v>310.89999999999998</v>
      </c>
      <c r="AI19" s="27">
        <f t="shared" si="7"/>
        <v>25804.699999999997</v>
      </c>
      <c r="AJ19" s="35" t="s">
        <v>159</v>
      </c>
      <c r="AK19" s="52">
        <f t="shared" si="8"/>
        <v>83</v>
      </c>
      <c r="AL19" s="45" t="str">
        <f t="shared" si="8"/>
        <v>Estudio 7</v>
      </c>
      <c r="AM19" s="45">
        <f t="shared" si="9"/>
        <v>20019.600000000002</v>
      </c>
      <c r="AN19" s="44">
        <f t="shared" si="10"/>
        <v>2423.6000000000004</v>
      </c>
      <c r="AO19" s="53">
        <f t="shared" si="11"/>
        <v>0.75</v>
      </c>
      <c r="AP19" s="45">
        <f t="shared" si="12"/>
        <v>3093.5760000000005</v>
      </c>
      <c r="AQ19" s="44">
        <f t="shared" si="13"/>
        <v>25804.699999999997</v>
      </c>
      <c r="AR19" s="44">
        <f t="shared" si="14"/>
        <v>8.3413822708735754</v>
      </c>
    </row>
    <row r="20" spans="1:44" ht="15.75" thickBot="1">
      <c r="A20" s="99">
        <f>9+5+11+8+3+11+12</f>
        <v>59</v>
      </c>
      <c r="B20" s="99" t="s">
        <v>77</v>
      </c>
      <c r="C20" s="99" t="s">
        <v>61</v>
      </c>
      <c r="D20" s="99">
        <v>4.46</v>
      </c>
      <c r="E20" s="99">
        <v>13.65</v>
      </c>
      <c r="F20" s="102">
        <v>0.6</v>
      </c>
      <c r="G20" s="99"/>
      <c r="H20" s="99">
        <v>4.1500000000000004</v>
      </c>
      <c r="I20" s="99"/>
      <c r="J20" s="99"/>
      <c r="K20" s="99"/>
      <c r="L20" s="102">
        <v>0.6</v>
      </c>
      <c r="M20" s="99">
        <f t="shared" si="0"/>
        <v>5.35</v>
      </c>
      <c r="N20" s="109" t="s">
        <v>205</v>
      </c>
      <c r="O20" s="17" t="str">
        <f>'[1]TABLA RESUMEN'!$W$456</f>
        <v>VS AP</v>
      </c>
      <c r="P20" s="28">
        <v>100</v>
      </c>
      <c r="Q20" s="26">
        <f t="shared" si="15"/>
        <v>59</v>
      </c>
      <c r="R20" s="27">
        <f t="shared" si="1"/>
        <v>4.72</v>
      </c>
      <c r="S20" s="80">
        <f t="shared" si="2"/>
        <v>4.72</v>
      </c>
      <c r="T20" s="34">
        <f t="shared" si="3"/>
        <v>3.7759999999999998</v>
      </c>
      <c r="U20" s="29">
        <f t="shared" si="4"/>
        <v>59</v>
      </c>
      <c r="V20" s="60" t="s">
        <v>158</v>
      </c>
      <c r="W20" s="60" t="s">
        <v>140</v>
      </c>
      <c r="X20" s="60">
        <v>13.5</v>
      </c>
      <c r="Y20" s="60">
        <v>71</v>
      </c>
      <c r="Z20" s="60"/>
      <c r="AA20" s="60"/>
      <c r="AB20" s="60" t="s">
        <v>135</v>
      </c>
      <c r="AC20" s="60" t="s">
        <v>141</v>
      </c>
      <c r="AD20" s="60">
        <v>20</v>
      </c>
      <c r="AE20" s="27">
        <f t="shared" si="5"/>
        <v>1.18</v>
      </c>
      <c r="AF20" s="34">
        <f t="shared" si="6"/>
        <v>1180</v>
      </c>
      <c r="AG20" s="81"/>
      <c r="AH20" s="27">
        <v>310.89999999999998</v>
      </c>
      <c r="AI20" s="27">
        <f t="shared" si="7"/>
        <v>18343.099999999999</v>
      </c>
      <c r="AJ20" s="35" t="s">
        <v>159</v>
      </c>
      <c r="AK20" s="52">
        <f t="shared" si="8"/>
        <v>59</v>
      </c>
      <c r="AL20" s="45" t="str">
        <f t="shared" si="8"/>
        <v>Estudio 7</v>
      </c>
      <c r="AM20" s="45">
        <f t="shared" si="9"/>
        <v>10435.92</v>
      </c>
      <c r="AN20" s="44">
        <f t="shared" si="10"/>
        <v>1292.0999999999999</v>
      </c>
      <c r="AO20" s="53">
        <f t="shared" si="11"/>
        <v>0.6875</v>
      </c>
      <c r="AP20" s="45">
        <f t="shared" si="12"/>
        <v>1616.0808</v>
      </c>
      <c r="AQ20" s="44">
        <f t="shared" si="13"/>
        <v>18343.099999999999</v>
      </c>
      <c r="AR20" s="44">
        <f t="shared" si="14"/>
        <v>11.350360699786792</v>
      </c>
    </row>
    <row r="21" spans="1:44" ht="15.75" thickBot="1">
      <c r="A21" s="99">
        <v>44</v>
      </c>
      <c r="B21" s="100" t="s">
        <v>160</v>
      </c>
      <c r="C21" s="99" t="s">
        <v>168</v>
      </c>
      <c r="D21" s="100">
        <v>9.86</v>
      </c>
      <c r="E21" s="100">
        <v>30</v>
      </c>
      <c r="F21" s="101"/>
      <c r="G21" s="100"/>
      <c r="H21" s="100">
        <v>4.5</v>
      </c>
      <c r="I21" s="100">
        <v>5.0999999999999996</v>
      </c>
      <c r="J21" s="100">
        <v>4.5</v>
      </c>
      <c r="K21" s="100"/>
      <c r="L21" s="101">
        <v>5</v>
      </c>
      <c r="M21" s="99">
        <f t="shared" si="0"/>
        <v>19.100000000000001</v>
      </c>
      <c r="N21" s="111">
        <v>44</v>
      </c>
      <c r="O21" s="17" t="s">
        <v>70</v>
      </c>
      <c r="P21" s="28">
        <v>250</v>
      </c>
      <c r="Q21" s="26">
        <f t="shared" si="15"/>
        <v>44</v>
      </c>
      <c r="R21" s="27">
        <f t="shared" si="1"/>
        <v>8.8000000000000007</v>
      </c>
      <c r="S21" s="80">
        <f t="shared" si="2"/>
        <v>8.8000000000000007</v>
      </c>
      <c r="T21" s="34">
        <f t="shared" si="3"/>
        <v>7.0400000000000009</v>
      </c>
      <c r="U21" s="29">
        <f t="shared" si="4"/>
        <v>44</v>
      </c>
      <c r="V21" s="83" t="s">
        <v>165</v>
      </c>
      <c r="W21" s="69" t="s">
        <v>140</v>
      </c>
      <c r="X21" s="69">
        <v>7.5</v>
      </c>
      <c r="Y21" s="69">
        <v>68</v>
      </c>
      <c r="Z21" s="69"/>
      <c r="AA21" s="69"/>
      <c r="AB21" s="69" t="s">
        <v>135</v>
      </c>
      <c r="AC21" s="69" t="s">
        <v>147</v>
      </c>
      <c r="AD21" s="60">
        <v>26</v>
      </c>
      <c r="AE21" s="27">
        <f t="shared" si="5"/>
        <v>1.1439999999999999</v>
      </c>
      <c r="AF21" s="34">
        <f t="shared" si="6"/>
        <v>1144</v>
      </c>
      <c r="AG21" s="81"/>
      <c r="AH21" s="27">
        <v>318.7</v>
      </c>
      <c r="AI21" s="27">
        <f t="shared" si="7"/>
        <v>14022.8</v>
      </c>
      <c r="AK21" s="52">
        <f t="shared" si="8"/>
        <v>44</v>
      </c>
      <c r="AL21" s="45" t="str">
        <f t="shared" si="8"/>
        <v>Estudio 16</v>
      </c>
      <c r="AM21" s="45">
        <f t="shared" si="9"/>
        <v>23701.920000000002</v>
      </c>
      <c r="AN21" s="44">
        <f t="shared" si="10"/>
        <v>2794.44</v>
      </c>
      <c r="AO21" s="53">
        <f t="shared" si="11"/>
        <v>0.83750000000000002</v>
      </c>
      <c r="AP21" s="45">
        <f t="shared" si="12"/>
        <v>3653.6016000000009</v>
      </c>
      <c r="AQ21" s="44">
        <f t="shared" si="13"/>
        <v>14022.8</v>
      </c>
      <c r="AR21" s="44">
        <f t="shared" si="14"/>
        <v>3.8380758318038826</v>
      </c>
    </row>
    <row r="22" spans="1:44" ht="15.75" thickBot="1">
      <c r="A22" s="99">
        <v>26</v>
      </c>
      <c r="B22" s="100" t="s">
        <v>161</v>
      </c>
      <c r="C22" s="100" t="s">
        <v>63</v>
      </c>
      <c r="D22" s="100">
        <v>10</v>
      </c>
      <c r="E22" s="100">
        <v>60</v>
      </c>
      <c r="F22" s="101">
        <v>5</v>
      </c>
      <c r="G22" s="100">
        <v>4.8</v>
      </c>
      <c r="H22" s="100">
        <v>6.85</v>
      </c>
      <c r="I22" s="100">
        <v>17.3</v>
      </c>
      <c r="J22" s="100">
        <v>6.85</v>
      </c>
      <c r="K22" s="100">
        <v>4.8</v>
      </c>
      <c r="L22" s="101">
        <v>2.5</v>
      </c>
      <c r="M22" s="99">
        <f t="shared" si="0"/>
        <v>48.1</v>
      </c>
      <c r="N22" s="111">
        <v>26</v>
      </c>
      <c r="O22" s="17" t="s">
        <v>70</v>
      </c>
      <c r="P22" s="28">
        <v>150</v>
      </c>
      <c r="Q22" s="26">
        <f t="shared" si="15"/>
        <v>26</v>
      </c>
      <c r="R22" s="27">
        <f t="shared" si="1"/>
        <v>3.12</v>
      </c>
      <c r="S22" s="80">
        <f t="shared" si="2"/>
        <v>3.12</v>
      </c>
      <c r="T22" s="34">
        <f t="shared" si="3"/>
        <v>2.4960000000000004</v>
      </c>
      <c r="U22" s="29">
        <f t="shared" si="4"/>
        <v>26</v>
      </c>
      <c r="V22" s="83" t="s">
        <v>166</v>
      </c>
      <c r="W22" s="69" t="s">
        <v>140</v>
      </c>
      <c r="X22" s="69">
        <v>8.3000000000000007</v>
      </c>
      <c r="Y22" s="69">
        <v>45</v>
      </c>
      <c r="Z22" s="69"/>
      <c r="AA22" s="69"/>
      <c r="AB22" s="69" t="s">
        <v>135</v>
      </c>
      <c r="AC22" s="69" t="s">
        <v>169</v>
      </c>
      <c r="AD22" s="60">
        <v>122</v>
      </c>
      <c r="AE22" s="27">
        <f t="shared" si="5"/>
        <v>3.1720000000000002</v>
      </c>
      <c r="AF22" s="34">
        <f t="shared" si="6"/>
        <v>3172</v>
      </c>
      <c r="AG22" s="81"/>
      <c r="AH22" s="27">
        <v>589.5</v>
      </c>
      <c r="AI22" s="27">
        <f t="shared" si="7"/>
        <v>15327</v>
      </c>
      <c r="AK22" s="52">
        <f t="shared" si="8"/>
        <v>26</v>
      </c>
      <c r="AL22" s="45" t="str">
        <f t="shared" si="8"/>
        <v>Estudio 17</v>
      </c>
      <c r="AM22" s="45">
        <f t="shared" si="9"/>
        <v>-2717.5199999999986</v>
      </c>
      <c r="AN22" s="44">
        <f t="shared" si="10"/>
        <v>-18.980000000000018</v>
      </c>
      <c r="AO22" s="53">
        <f t="shared" si="11"/>
        <v>-0.27083333333333326</v>
      </c>
      <c r="AP22" s="45">
        <f t="shared" si="12"/>
        <v>-382.73039999999986</v>
      </c>
      <c r="AQ22" s="44">
        <f t="shared" si="13"/>
        <v>15327</v>
      </c>
      <c r="AR22" s="44">
        <f t="shared" si="14"/>
        <v>-40.046466128637825</v>
      </c>
    </row>
    <row r="23" spans="1:44" ht="15.75" thickBot="1">
      <c r="A23" s="99">
        <v>92</v>
      </c>
      <c r="B23" s="100" t="s">
        <v>162</v>
      </c>
      <c r="C23" s="100" t="s">
        <v>63</v>
      </c>
      <c r="D23" s="100">
        <v>10</v>
      </c>
      <c r="E23" s="100">
        <v>28</v>
      </c>
      <c r="F23" s="101">
        <v>2.6</v>
      </c>
      <c r="G23" s="100">
        <v>2.2999999999999998</v>
      </c>
      <c r="H23" s="100">
        <v>6</v>
      </c>
      <c r="I23" s="100">
        <v>4.5999999999999996</v>
      </c>
      <c r="J23" s="100">
        <v>6</v>
      </c>
      <c r="K23" s="100">
        <v>2.2999999999999998</v>
      </c>
      <c r="L23" s="101">
        <v>2.6</v>
      </c>
      <c r="M23" s="99">
        <f t="shared" si="0"/>
        <v>26.400000000000002</v>
      </c>
      <c r="N23" s="111">
        <v>92</v>
      </c>
      <c r="O23" s="17" t="s">
        <v>70</v>
      </c>
      <c r="P23" s="28">
        <v>250</v>
      </c>
      <c r="Q23" s="26">
        <f t="shared" si="15"/>
        <v>92</v>
      </c>
      <c r="R23" s="27">
        <f t="shared" si="1"/>
        <v>18.399999999999999</v>
      </c>
      <c r="S23" s="80">
        <f t="shared" si="2"/>
        <v>18.399999999999999</v>
      </c>
      <c r="T23" s="34">
        <f t="shared" si="3"/>
        <v>14.719999999999999</v>
      </c>
      <c r="U23" s="29">
        <f t="shared" si="4"/>
        <v>92</v>
      </c>
      <c r="V23" s="83" t="s">
        <v>167</v>
      </c>
      <c r="W23" s="69" t="s">
        <v>140</v>
      </c>
      <c r="X23" s="69">
        <v>8.6999999999999993</v>
      </c>
      <c r="Y23" s="69">
        <v>70</v>
      </c>
      <c r="Z23" s="69"/>
      <c r="AA23" s="69"/>
      <c r="AB23" s="69" t="s">
        <v>135</v>
      </c>
      <c r="AC23" s="69" t="s">
        <v>170</v>
      </c>
      <c r="AD23" s="60">
        <v>38</v>
      </c>
      <c r="AE23" s="27">
        <f t="shared" si="5"/>
        <v>3.496</v>
      </c>
      <c r="AF23" s="34">
        <f t="shared" si="6"/>
        <v>3496</v>
      </c>
      <c r="AG23" s="81"/>
      <c r="AH23" s="27">
        <v>350.45</v>
      </c>
      <c r="AI23" s="27">
        <f t="shared" si="7"/>
        <v>32241.399999999998</v>
      </c>
      <c r="AK23" s="52">
        <f t="shared" si="8"/>
        <v>92</v>
      </c>
      <c r="AL23" s="45" t="str">
        <f t="shared" si="8"/>
        <v>Estudio 18</v>
      </c>
      <c r="AM23" s="45">
        <f t="shared" si="9"/>
        <v>45120.479999999996</v>
      </c>
      <c r="AN23" s="44">
        <f t="shared" si="10"/>
        <v>5439.9599999999991</v>
      </c>
      <c r="AO23" s="53">
        <f t="shared" si="11"/>
        <v>0.76249999999999996</v>
      </c>
      <c r="AP23" s="45">
        <f t="shared" si="12"/>
        <v>6969.6623999999993</v>
      </c>
      <c r="AQ23" s="44">
        <f t="shared" si="13"/>
        <v>32241.399999999998</v>
      </c>
      <c r="AR23" s="44">
        <f t="shared" si="14"/>
        <v>4.6259629447762061</v>
      </c>
    </row>
    <row r="24" spans="1:44" ht="15.75" thickBot="1">
      <c r="A24" s="99">
        <v>7</v>
      </c>
      <c r="B24" s="100" t="s">
        <v>163</v>
      </c>
      <c r="C24" s="100" t="s">
        <v>61</v>
      </c>
      <c r="D24" s="100">
        <v>10</v>
      </c>
      <c r="E24" s="100">
        <v>29</v>
      </c>
      <c r="F24" s="101">
        <v>2.5</v>
      </c>
      <c r="G24" s="100">
        <v>3.1</v>
      </c>
      <c r="H24" s="100">
        <v>7.7</v>
      </c>
      <c r="I24" s="100"/>
      <c r="J24" s="100"/>
      <c r="K24" s="100"/>
      <c r="L24" s="101">
        <v>2.8</v>
      </c>
      <c r="M24" s="99">
        <f t="shared" si="0"/>
        <v>16.100000000000001</v>
      </c>
      <c r="N24" s="111">
        <v>7</v>
      </c>
      <c r="O24" s="17" t="s">
        <v>70</v>
      </c>
      <c r="P24" s="28">
        <v>250</v>
      </c>
      <c r="Q24" s="26">
        <f t="shared" si="15"/>
        <v>7</v>
      </c>
      <c r="R24" s="27">
        <f t="shared" si="1"/>
        <v>1.4</v>
      </c>
      <c r="S24" s="80">
        <f t="shared" si="2"/>
        <v>1.4</v>
      </c>
      <c r="T24" s="34">
        <f t="shared" si="3"/>
        <v>1.1199999999999999</v>
      </c>
      <c r="U24" s="29">
        <f t="shared" si="4"/>
        <v>7</v>
      </c>
      <c r="V24" s="83" t="s">
        <v>171</v>
      </c>
      <c r="W24" s="69" t="s">
        <v>140</v>
      </c>
      <c r="X24" s="69">
        <v>8.1</v>
      </c>
      <c r="Y24" s="69">
        <v>73</v>
      </c>
      <c r="Z24" s="69"/>
      <c r="AA24" s="69"/>
      <c r="AB24" s="69" t="s">
        <v>135</v>
      </c>
      <c r="AC24" s="69" t="s">
        <v>172</v>
      </c>
      <c r="AD24" s="60">
        <v>51</v>
      </c>
      <c r="AE24" s="27">
        <f t="shared" si="5"/>
        <v>0.35699999999999998</v>
      </c>
      <c r="AF24" s="34">
        <f t="shared" si="6"/>
        <v>357</v>
      </c>
      <c r="AG24" s="81"/>
      <c r="AH24" s="27">
        <v>344.56</v>
      </c>
      <c r="AI24" s="27">
        <f t="shared" si="7"/>
        <v>2411.92</v>
      </c>
      <c r="AK24" s="52">
        <f t="shared" si="8"/>
        <v>7</v>
      </c>
      <c r="AL24" s="45" t="str">
        <f t="shared" si="8"/>
        <v>Estudio 19</v>
      </c>
      <c r="AM24" s="45">
        <f t="shared" si="9"/>
        <v>3067.2599999999998</v>
      </c>
      <c r="AN24" s="44">
        <f t="shared" si="10"/>
        <v>380.69499999999999</v>
      </c>
      <c r="AO24" s="53">
        <f t="shared" si="11"/>
        <v>0.68124999999999991</v>
      </c>
      <c r="AP24" s="45">
        <f t="shared" si="12"/>
        <v>475.09980000000002</v>
      </c>
      <c r="AQ24" s="44">
        <f t="shared" si="13"/>
        <v>2411.92</v>
      </c>
      <c r="AR24" s="44">
        <f t="shared" si="14"/>
        <v>5.076659682870841</v>
      </c>
    </row>
    <row r="25" spans="1:44" ht="15.75" thickBot="1">
      <c r="A25" s="99">
        <v>137</v>
      </c>
      <c r="B25" s="100" t="s">
        <v>164</v>
      </c>
      <c r="C25" s="100" t="s">
        <v>61</v>
      </c>
      <c r="D25" s="100">
        <v>10</v>
      </c>
      <c r="E25" s="100">
        <v>25</v>
      </c>
      <c r="F25" s="101">
        <v>2.5</v>
      </c>
      <c r="G25" s="100">
        <v>2.5</v>
      </c>
      <c r="H25" s="100">
        <v>6.5</v>
      </c>
      <c r="I25" s="100"/>
      <c r="J25" s="100"/>
      <c r="K25" s="100"/>
      <c r="L25" s="101">
        <v>2.5</v>
      </c>
      <c r="M25" s="99">
        <f t="shared" si="0"/>
        <v>14</v>
      </c>
      <c r="N25" s="111">
        <v>137</v>
      </c>
      <c r="O25" s="17" t="s">
        <v>70</v>
      </c>
      <c r="P25" s="28">
        <v>100</v>
      </c>
      <c r="Q25" s="26">
        <f t="shared" si="15"/>
        <v>137</v>
      </c>
      <c r="R25" s="27">
        <f t="shared" si="1"/>
        <v>10.96</v>
      </c>
      <c r="S25" s="80">
        <f t="shared" si="2"/>
        <v>10.96</v>
      </c>
      <c r="T25" s="34">
        <f t="shared" si="3"/>
        <v>8.7680000000000007</v>
      </c>
      <c r="U25" s="29">
        <f t="shared" si="4"/>
        <v>137</v>
      </c>
      <c r="V25" s="83" t="s">
        <v>173</v>
      </c>
      <c r="W25" s="69" t="s">
        <v>140</v>
      </c>
      <c r="X25" s="69">
        <v>8.8000000000000007</v>
      </c>
      <c r="Y25" s="69">
        <v>80</v>
      </c>
      <c r="Z25" s="69"/>
      <c r="AA25" s="69"/>
      <c r="AB25" s="69" t="s">
        <v>135</v>
      </c>
      <c r="AC25" s="69" t="s">
        <v>174</v>
      </c>
      <c r="AD25" s="60">
        <v>38</v>
      </c>
      <c r="AE25" s="27">
        <f t="shared" si="5"/>
        <v>5.2060000000000004</v>
      </c>
      <c r="AF25" s="34">
        <f t="shared" si="6"/>
        <v>5206</v>
      </c>
      <c r="AG25" s="81"/>
      <c r="AH25" s="27">
        <v>251.4</v>
      </c>
      <c r="AI25" s="27">
        <f t="shared" si="7"/>
        <v>34441.800000000003</v>
      </c>
      <c r="AK25" s="52">
        <f t="shared" si="8"/>
        <v>137</v>
      </c>
      <c r="AL25" s="45" t="str">
        <f t="shared" si="8"/>
        <v>Estudio 20</v>
      </c>
      <c r="AM25" s="45">
        <f t="shared" si="9"/>
        <v>14319.240000000002</v>
      </c>
      <c r="AN25" s="44">
        <f t="shared" si="10"/>
        <v>2100.21</v>
      </c>
      <c r="AO25" s="53">
        <f t="shared" si="11"/>
        <v>0.40625</v>
      </c>
      <c r="AP25" s="45">
        <f t="shared" si="12"/>
        <v>2256.7188000000006</v>
      </c>
      <c r="AQ25" s="44">
        <f t="shared" si="13"/>
        <v>34441.800000000003</v>
      </c>
      <c r="AR25" s="44">
        <f t="shared" si="14"/>
        <v>15.261892620383184</v>
      </c>
    </row>
    <row r="26" spans="1:44" ht="15.75" thickBot="1">
      <c r="A26" s="99">
        <v>68</v>
      </c>
      <c r="B26" s="100" t="s">
        <v>73</v>
      </c>
      <c r="C26" s="99" t="s">
        <v>61</v>
      </c>
      <c r="D26" s="99">
        <v>5.7</v>
      </c>
      <c r="E26" s="99">
        <v>25</v>
      </c>
      <c r="F26" s="102">
        <v>0.9</v>
      </c>
      <c r="G26" s="99"/>
      <c r="H26" s="99">
        <v>6</v>
      </c>
      <c r="I26" s="99"/>
      <c r="J26" s="99"/>
      <c r="K26" s="99"/>
      <c r="L26" s="102">
        <v>1</v>
      </c>
      <c r="M26" s="99">
        <f t="shared" si="0"/>
        <v>7.9</v>
      </c>
      <c r="N26" s="111">
        <v>68</v>
      </c>
      <c r="O26" s="17" t="str">
        <f>'[1]TABLA RESUMEN'!$W$389</f>
        <v>VS AP</v>
      </c>
      <c r="P26" s="28">
        <v>100</v>
      </c>
      <c r="Q26" s="26">
        <f t="shared" si="15"/>
        <v>68</v>
      </c>
      <c r="R26" s="27">
        <f t="shared" si="1"/>
        <v>5.44</v>
      </c>
      <c r="S26" s="80">
        <f t="shared" si="2"/>
        <v>5.44</v>
      </c>
      <c r="T26" s="34">
        <f t="shared" si="3"/>
        <v>4.3520000000000003</v>
      </c>
      <c r="U26" s="29">
        <f t="shared" si="4"/>
        <v>68</v>
      </c>
      <c r="V26" s="66" t="s">
        <v>146</v>
      </c>
      <c r="W26" s="60" t="s">
        <v>140</v>
      </c>
      <c r="X26" s="82">
        <v>8.9</v>
      </c>
      <c r="Y26" s="60">
        <v>27</v>
      </c>
      <c r="Z26" s="60"/>
      <c r="AA26" s="60"/>
      <c r="AB26" s="60" t="s">
        <v>135</v>
      </c>
      <c r="AC26" s="60" t="s">
        <v>147</v>
      </c>
      <c r="AD26" s="60">
        <v>26</v>
      </c>
      <c r="AE26" s="27">
        <f t="shared" si="5"/>
        <v>1.768</v>
      </c>
      <c r="AF26" s="34">
        <f t="shared" si="6"/>
        <v>1768</v>
      </c>
      <c r="AG26" s="81"/>
      <c r="AH26" s="27">
        <v>314.8</v>
      </c>
      <c r="AI26" s="27">
        <f t="shared" si="7"/>
        <v>21406.400000000001</v>
      </c>
      <c r="AK26" s="52">
        <f t="shared" si="8"/>
        <v>68</v>
      </c>
      <c r="AL26" s="45" t="str">
        <f t="shared" si="8"/>
        <v>Estudio 9</v>
      </c>
      <c r="AM26" s="45">
        <f t="shared" si="9"/>
        <v>10387.680000000002</v>
      </c>
      <c r="AN26" s="44">
        <f t="shared" si="10"/>
        <v>1340.2800000000002</v>
      </c>
      <c r="AO26" s="53">
        <f t="shared" si="11"/>
        <v>0.59375</v>
      </c>
      <c r="AP26" s="45">
        <f t="shared" si="12"/>
        <v>1615.1088000000004</v>
      </c>
      <c r="AQ26" s="44">
        <f t="shared" si="13"/>
        <v>21406.400000000001</v>
      </c>
      <c r="AR26" s="44">
        <f t="shared" si="14"/>
        <v>13.253843951565365</v>
      </c>
    </row>
    <row r="27" spans="1:44" ht="15.75" thickBot="1">
      <c r="A27" s="99">
        <v>27</v>
      </c>
      <c r="B27" s="100" t="s">
        <v>74</v>
      </c>
      <c r="C27" s="99" t="s">
        <v>61</v>
      </c>
      <c r="D27" s="99">
        <v>9.25</v>
      </c>
      <c r="E27" s="99">
        <v>24.15</v>
      </c>
      <c r="F27" s="102">
        <v>3</v>
      </c>
      <c r="G27" s="99"/>
      <c r="H27" s="99">
        <v>12.42</v>
      </c>
      <c r="I27" s="99"/>
      <c r="J27" s="99"/>
      <c r="K27" s="99"/>
      <c r="L27" s="102"/>
      <c r="M27" s="99">
        <f t="shared" si="0"/>
        <v>15.42</v>
      </c>
      <c r="N27" s="111">
        <v>27</v>
      </c>
      <c r="O27" s="17" t="str">
        <f>'[1]TABLA RESUMEN'!$W$389</f>
        <v>VS AP</v>
      </c>
      <c r="P27" s="28">
        <v>150</v>
      </c>
      <c r="Q27" s="26">
        <f t="shared" si="15"/>
        <v>27</v>
      </c>
      <c r="R27" s="27">
        <f t="shared" si="1"/>
        <v>3.24</v>
      </c>
      <c r="S27" s="80">
        <f t="shared" si="2"/>
        <v>3.24</v>
      </c>
      <c r="T27" s="34">
        <f t="shared" si="3"/>
        <v>2.5920000000000005</v>
      </c>
      <c r="U27" s="29">
        <f t="shared" si="4"/>
        <v>27</v>
      </c>
      <c r="V27" s="68" t="s">
        <v>144</v>
      </c>
      <c r="W27" s="60" t="s">
        <v>140</v>
      </c>
      <c r="X27" s="60">
        <v>9</v>
      </c>
      <c r="Y27" s="60">
        <v>64</v>
      </c>
      <c r="Z27" s="60"/>
      <c r="AA27" s="60"/>
      <c r="AB27" s="60" t="s">
        <v>135</v>
      </c>
      <c r="AC27" s="60" t="s">
        <v>136</v>
      </c>
      <c r="AD27" s="60">
        <v>51</v>
      </c>
      <c r="AE27" s="27">
        <f t="shared" si="5"/>
        <v>1.377</v>
      </c>
      <c r="AF27" s="34">
        <f t="shared" si="6"/>
        <v>1377</v>
      </c>
      <c r="AG27" s="81"/>
      <c r="AH27" s="27">
        <v>344.56</v>
      </c>
      <c r="AI27" s="27">
        <f t="shared" si="7"/>
        <v>9303.1200000000008</v>
      </c>
      <c r="AK27" s="52">
        <f t="shared" si="8"/>
        <v>27</v>
      </c>
      <c r="AL27" s="45" t="str">
        <f>V27</f>
        <v>Estudio 4</v>
      </c>
      <c r="AM27" s="45">
        <f t="shared" si="9"/>
        <v>4884.300000000002</v>
      </c>
      <c r="AN27" s="44">
        <f t="shared" si="10"/>
        <v>679.99500000000012</v>
      </c>
      <c r="AO27" s="53">
        <f t="shared" si="11"/>
        <v>0.46875000000000011</v>
      </c>
      <c r="AP27" s="45">
        <f t="shared" si="12"/>
        <v>765.40140000000042</v>
      </c>
      <c r="AQ27" s="44">
        <f t="shared" si="13"/>
        <v>9303.1200000000008</v>
      </c>
      <c r="AR27" s="44">
        <f t="shared" si="14"/>
        <v>12.15456360544937</v>
      </c>
    </row>
    <row r="28" spans="1:44" ht="15.75" thickBot="1">
      <c r="A28" s="99">
        <f>23+26+17</f>
        <v>66</v>
      </c>
      <c r="B28" s="100" t="s">
        <v>78</v>
      </c>
      <c r="C28" s="99"/>
      <c r="D28" s="99">
        <v>4.2</v>
      </c>
      <c r="E28" s="99">
        <v>15</v>
      </c>
      <c r="F28" s="102"/>
      <c r="G28" s="99"/>
      <c r="H28" s="99"/>
      <c r="I28" s="99"/>
      <c r="J28" s="99"/>
      <c r="K28" s="99"/>
      <c r="L28" s="102"/>
      <c r="M28" s="99">
        <f t="shared" si="0"/>
        <v>0</v>
      </c>
      <c r="N28" s="109" t="s">
        <v>206</v>
      </c>
      <c r="O28" s="17" t="s">
        <v>79</v>
      </c>
      <c r="P28" s="28">
        <v>100</v>
      </c>
      <c r="Q28" s="26">
        <f t="shared" si="15"/>
        <v>66</v>
      </c>
      <c r="R28" s="27">
        <f t="shared" si="1"/>
        <v>5.28</v>
      </c>
      <c r="S28" s="80">
        <f t="shared" si="2"/>
        <v>5.28</v>
      </c>
      <c r="T28" s="34">
        <f t="shared" si="3"/>
        <v>4.2240000000000002</v>
      </c>
      <c r="U28" s="29">
        <f t="shared" si="4"/>
        <v>66</v>
      </c>
      <c r="V28" s="60" t="s">
        <v>175</v>
      </c>
      <c r="W28" s="60" t="s">
        <v>140</v>
      </c>
      <c r="X28" s="60">
        <v>4.8</v>
      </c>
      <c r="Y28" s="60">
        <v>51</v>
      </c>
      <c r="Z28" s="60"/>
      <c r="AA28" s="60"/>
      <c r="AB28" s="60" t="s">
        <v>135</v>
      </c>
      <c r="AC28" s="60" t="s">
        <v>176</v>
      </c>
      <c r="AD28" s="60">
        <v>26</v>
      </c>
      <c r="AE28" s="27">
        <f t="shared" si="5"/>
        <v>1.716</v>
      </c>
      <c r="AF28" s="34">
        <f t="shared" si="6"/>
        <v>1716</v>
      </c>
      <c r="AG28" s="81"/>
      <c r="AH28" s="27">
        <v>451.3</v>
      </c>
      <c r="AI28" s="27">
        <f t="shared" si="7"/>
        <v>29785.8</v>
      </c>
      <c r="AK28" s="52">
        <f t="shared" si="8"/>
        <v>66</v>
      </c>
      <c r="AL28" s="45" t="str">
        <f t="shared" si="8"/>
        <v>Estudio 22</v>
      </c>
      <c r="AM28" s="45">
        <f t="shared" si="9"/>
        <v>10082.16</v>
      </c>
      <c r="AN28" s="44">
        <f t="shared" si="10"/>
        <v>1300.8600000000001</v>
      </c>
      <c r="AO28" s="53">
        <f t="shared" si="11"/>
        <v>0.59375</v>
      </c>
      <c r="AP28" s="45">
        <f t="shared" si="12"/>
        <v>1567.6056000000001</v>
      </c>
      <c r="AQ28" s="44">
        <f t="shared" si="13"/>
        <v>29785.8</v>
      </c>
      <c r="AR28" s="44">
        <f t="shared" si="14"/>
        <v>19.000825207564962</v>
      </c>
    </row>
    <row r="29" spans="1:44" ht="15.75" thickBot="1">
      <c r="A29" s="99">
        <v>38</v>
      </c>
      <c r="B29" s="100" t="s">
        <v>78</v>
      </c>
      <c r="C29" s="99"/>
      <c r="D29" s="99">
        <v>5</v>
      </c>
      <c r="E29" s="99">
        <v>5</v>
      </c>
      <c r="F29" s="102"/>
      <c r="G29" s="99"/>
      <c r="H29" s="99"/>
      <c r="I29" s="99"/>
      <c r="J29" s="99"/>
      <c r="K29" s="99"/>
      <c r="L29" s="102"/>
      <c r="M29" s="99">
        <f t="shared" si="0"/>
        <v>0</v>
      </c>
      <c r="N29" s="111">
        <v>38</v>
      </c>
      <c r="O29" s="17" t="s">
        <v>79</v>
      </c>
      <c r="P29" s="28">
        <v>70</v>
      </c>
      <c r="Q29" s="26">
        <f t="shared" si="15"/>
        <v>38</v>
      </c>
      <c r="R29" s="27">
        <f t="shared" si="1"/>
        <v>2.1280000000000001</v>
      </c>
      <c r="S29" s="80">
        <f t="shared" si="2"/>
        <v>2.1280000000000001</v>
      </c>
      <c r="T29" s="34">
        <f t="shared" si="3"/>
        <v>1.7024000000000001</v>
      </c>
      <c r="U29" s="29">
        <f t="shared" si="4"/>
        <v>38</v>
      </c>
      <c r="V29" s="60" t="s">
        <v>175</v>
      </c>
      <c r="W29" s="60" t="s">
        <v>140</v>
      </c>
      <c r="X29" s="60">
        <v>4.8</v>
      </c>
      <c r="Y29" s="60">
        <v>51</v>
      </c>
      <c r="Z29" s="60"/>
      <c r="AA29" s="60"/>
      <c r="AB29" s="60" t="s">
        <v>135</v>
      </c>
      <c r="AC29" s="60" t="s">
        <v>176</v>
      </c>
      <c r="AD29" s="60">
        <v>26</v>
      </c>
      <c r="AE29" s="27">
        <f t="shared" si="5"/>
        <v>0.98799999999999999</v>
      </c>
      <c r="AF29" s="34">
        <f t="shared" si="6"/>
        <v>988</v>
      </c>
      <c r="AG29" s="81"/>
      <c r="AH29" s="27">
        <v>451.3</v>
      </c>
      <c r="AI29" s="27">
        <f t="shared" si="7"/>
        <v>17149.400000000001</v>
      </c>
      <c r="AK29" s="52">
        <f t="shared" si="8"/>
        <v>38</v>
      </c>
      <c r="AL29" s="45" t="str">
        <f t="shared" si="8"/>
        <v>Estudio 22</v>
      </c>
      <c r="AM29" s="45">
        <f t="shared" si="9"/>
        <v>2871.8880000000004</v>
      </c>
      <c r="AN29" s="44">
        <f t="shared" si="10"/>
        <v>416.1</v>
      </c>
      <c r="AO29" s="53">
        <f t="shared" si="11"/>
        <v>0.41964285714285721</v>
      </c>
      <c r="AP29" s="45">
        <f t="shared" si="12"/>
        <v>451.99632000000008</v>
      </c>
      <c r="AQ29" s="44">
        <f t="shared" si="13"/>
        <v>17149.400000000001</v>
      </c>
      <c r="AR29" s="44">
        <f t="shared" si="14"/>
        <v>37.941459346394673</v>
      </c>
    </row>
    <row r="30" spans="1:44" ht="15.75" thickBot="1">
      <c r="A30" s="99">
        <f>52+7+33+15+11+31</f>
        <v>149</v>
      </c>
      <c r="B30" s="100" t="s">
        <v>78</v>
      </c>
      <c r="C30" s="99"/>
      <c r="D30" s="99">
        <v>4</v>
      </c>
      <c r="E30" s="99">
        <v>15</v>
      </c>
      <c r="F30" s="102"/>
      <c r="G30" s="99"/>
      <c r="H30" s="99"/>
      <c r="I30" s="99"/>
      <c r="J30" s="99"/>
      <c r="K30" s="99"/>
      <c r="L30" s="102"/>
      <c r="M30" s="99">
        <f t="shared" si="0"/>
        <v>0</v>
      </c>
      <c r="N30" s="109" t="s">
        <v>207</v>
      </c>
      <c r="O30" s="17" t="s">
        <v>70</v>
      </c>
      <c r="P30" s="28">
        <v>100</v>
      </c>
      <c r="Q30" s="26">
        <f t="shared" si="15"/>
        <v>149</v>
      </c>
      <c r="R30" s="27">
        <f t="shared" si="1"/>
        <v>11.92</v>
      </c>
      <c r="S30" s="80">
        <f t="shared" si="2"/>
        <v>11.92</v>
      </c>
      <c r="T30" s="34">
        <f t="shared" si="3"/>
        <v>9.5359999999999996</v>
      </c>
      <c r="U30" s="29">
        <f t="shared" si="4"/>
        <v>149</v>
      </c>
      <c r="V30" s="60" t="s">
        <v>175</v>
      </c>
      <c r="W30" s="60" t="s">
        <v>140</v>
      </c>
      <c r="X30" s="60">
        <v>4.8</v>
      </c>
      <c r="Y30" s="60">
        <v>51</v>
      </c>
      <c r="Z30" s="60"/>
      <c r="AA30" s="60"/>
      <c r="AB30" s="60" t="s">
        <v>135</v>
      </c>
      <c r="AC30" s="60" t="s">
        <v>176</v>
      </c>
      <c r="AD30" s="60">
        <v>26</v>
      </c>
      <c r="AE30" s="27">
        <f t="shared" si="5"/>
        <v>3.8740000000000001</v>
      </c>
      <c r="AF30" s="34">
        <f t="shared" si="6"/>
        <v>3874</v>
      </c>
      <c r="AG30" s="81"/>
      <c r="AH30" s="27">
        <v>451.3</v>
      </c>
      <c r="AI30" s="27">
        <f t="shared" si="7"/>
        <v>67243.7</v>
      </c>
      <c r="AK30" s="52">
        <f t="shared" si="8"/>
        <v>149</v>
      </c>
      <c r="AL30" s="45" t="str">
        <f t="shared" si="8"/>
        <v>Estudio 22</v>
      </c>
      <c r="AM30" s="45">
        <f t="shared" si="9"/>
        <v>22761.239999999994</v>
      </c>
      <c r="AN30" s="44">
        <f t="shared" si="10"/>
        <v>2936.79</v>
      </c>
      <c r="AO30" s="53">
        <f t="shared" si="11"/>
        <v>0.59375</v>
      </c>
      <c r="AP30" s="45">
        <f t="shared" si="12"/>
        <v>3538.9883999999997</v>
      </c>
      <c r="AQ30" s="44">
        <f t="shared" si="13"/>
        <v>67243.7</v>
      </c>
      <c r="AR30" s="44">
        <f t="shared" si="14"/>
        <v>19.000825207564965</v>
      </c>
    </row>
    <row r="31" spans="1:44" ht="15.75" thickBot="1">
      <c r="A31" s="99">
        <v>5</v>
      </c>
      <c r="B31" s="100" t="s">
        <v>78</v>
      </c>
      <c r="C31" s="99"/>
      <c r="D31" s="99">
        <v>8.8000000000000007</v>
      </c>
      <c r="E31" s="99">
        <v>25</v>
      </c>
      <c r="F31" s="102"/>
      <c r="G31" s="99"/>
      <c r="H31" s="99"/>
      <c r="I31" s="99"/>
      <c r="J31" s="99"/>
      <c r="K31" s="99"/>
      <c r="L31" s="102"/>
      <c r="M31" s="99">
        <f t="shared" si="0"/>
        <v>0</v>
      </c>
      <c r="N31" s="111">
        <v>5</v>
      </c>
      <c r="O31" s="17" t="s">
        <v>70</v>
      </c>
      <c r="P31" s="28">
        <v>70</v>
      </c>
      <c r="Q31" s="26">
        <f t="shared" si="15"/>
        <v>5</v>
      </c>
      <c r="R31" s="27">
        <f t="shared" si="1"/>
        <v>0.28000000000000003</v>
      </c>
      <c r="S31" s="80">
        <f t="shared" si="2"/>
        <v>0.28000000000000003</v>
      </c>
      <c r="T31" s="34">
        <f t="shared" si="3"/>
        <v>0.22400000000000003</v>
      </c>
      <c r="U31" s="29">
        <f t="shared" si="4"/>
        <v>5</v>
      </c>
      <c r="V31" s="84" t="s">
        <v>177</v>
      </c>
      <c r="W31" s="60" t="s">
        <v>140</v>
      </c>
      <c r="X31" s="60">
        <v>9.4</v>
      </c>
      <c r="Y31" s="60">
        <v>64</v>
      </c>
      <c r="Z31" s="60"/>
      <c r="AA31" s="60"/>
      <c r="AB31" s="60" t="s">
        <v>135</v>
      </c>
      <c r="AC31" s="60" t="s">
        <v>178</v>
      </c>
      <c r="AD31" s="60">
        <v>51</v>
      </c>
      <c r="AE31" s="27">
        <f t="shared" si="5"/>
        <v>0.255</v>
      </c>
      <c r="AF31" s="34">
        <f t="shared" si="6"/>
        <v>255</v>
      </c>
      <c r="AG31" s="81"/>
      <c r="AH31" s="27">
        <v>356.6</v>
      </c>
      <c r="AI31" s="27">
        <f t="shared" si="7"/>
        <v>1783</v>
      </c>
      <c r="AK31" s="52">
        <f t="shared" si="8"/>
        <v>5</v>
      </c>
      <c r="AL31" s="45" t="str">
        <f t="shared" si="8"/>
        <v>Estudio 23</v>
      </c>
      <c r="AM31" s="45">
        <f t="shared" si="9"/>
        <v>-124.61999999999989</v>
      </c>
      <c r="AN31" s="44">
        <f t="shared" si="10"/>
        <v>9.1250000000000089</v>
      </c>
      <c r="AO31" s="53">
        <f t="shared" si="11"/>
        <v>-0.13839285714285698</v>
      </c>
      <c r="AP31" s="45">
        <f t="shared" si="12"/>
        <v>-16.351799999999983</v>
      </c>
      <c r="AQ31" s="44">
        <f t="shared" si="13"/>
        <v>1783</v>
      </c>
      <c r="AR31" s="44">
        <f t="shared" si="14"/>
        <v>-109.03998336574578</v>
      </c>
    </row>
    <row r="32" spans="1:44" ht="15.75" thickBot="1">
      <c r="A32" s="99">
        <f>12</f>
        <v>12</v>
      </c>
      <c r="B32" s="100" t="s">
        <v>78</v>
      </c>
      <c r="C32" s="99"/>
      <c r="D32" s="99">
        <v>4.4000000000000004</v>
      </c>
      <c r="E32" s="99">
        <v>11</v>
      </c>
      <c r="F32" s="102"/>
      <c r="G32" s="99"/>
      <c r="H32" s="99"/>
      <c r="I32" s="99"/>
      <c r="J32" s="99"/>
      <c r="K32" s="99"/>
      <c r="L32" s="102"/>
      <c r="M32" s="99">
        <f t="shared" si="0"/>
        <v>0</v>
      </c>
      <c r="N32" s="109" t="s">
        <v>208</v>
      </c>
      <c r="O32" s="17" t="s">
        <v>80</v>
      </c>
      <c r="P32" s="28">
        <v>125</v>
      </c>
      <c r="Q32" s="26">
        <f t="shared" si="15"/>
        <v>12</v>
      </c>
      <c r="R32" s="27">
        <f t="shared" si="1"/>
        <v>1.2</v>
      </c>
      <c r="S32" s="80">
        <f t="shared" si="2"/>
        <v>1.2</v>
      </c>
      <c r="T32" s="34">
        <f t="shared" si="3"/>
        <v>0.96</v>
      </c>
      <c r="U32" s="29">
        <f t="shared" si="4"/>
        <v>12</v>
      </c>
      <c r="V32" s="60" t="s">
        <v>175</v>
      </c>
      <c r="W32" s="60" t="s">
        <v>140</v>
      </c>
      <c r="X32" s="60">
        <v>4.8</v>
      </c>
      <c r="Y32" s="60">
        <v>51</v>
      </c>
      <c r="Z32" s="60"/>
      <c r="AA32" s="60"/>
      <c r="AB32" s="60" t="s">
        <v>135</v>
      </c>
      <c r="AC32" s="60" t="s">
        <v>176</v>
      </c>
      <c r="AD32" s="60">
        <v>26</v>
      </c>
      <c r="AE32" s="27">
        <f t="shared" si="5"/>
        <v>0.312</v>
      </c>
      <c r="AF32" s="34">
        <f t="shared" si="6"/>
        <v>312</v>
      </c>
      <c r="AG32" s="81"/>
      <c r="AH32" s="27">
        <v>451.3</v>
      </c>
      <c r="AI32" s="27">
        <f t="shared" si="7"/>
        <v>5415.6</v>
      </c>
      <c r="AK32" s="52">
        <f t="shared" si="8"/>
        <v>12</v>
      </c>
      <c r="AL32" s="45" t="str">
        <f t="shared" si="8"/>
        <v>Estudio 22</v>
      </c>
      <c r="AM32" s="45">
        <f t="shared" si="9"/>
        <v>2604.9599999999996</v>
      </c>
      <c r="AN32" s="44">
        <f t="shared" si="10"/>
        <v>324.11999999999995</v>
      </c>
      <c r="AO32" s="53">
        <f t="shared" si="11"/>
        <v>0.67500000000000004</v>
      </c>
      <c r="AP32" s="45">
        <f t="shared" si="12"/>
        <v>403.58879999999999</v>
      </c>
      <c r="AQ32" s="44">
        <f t="shared" si="13"/>
        <v>5415.6</v>
      </c>
      <c r="AR32" s="44">
        <f t="shared" si="14"/>
        <v>13.418608246809626</v>
      </c>
    </row>
    <row r="33" spans="1:46" ht="15.75" thickBot="1">
      <c r="A33" s="99">
        <v>21</v>
      </c>
      <c r="B33" s="100" t="s">
        <v>78</v>
      </c>
      <c r="C33" s="99"/>
      <c r="D33" s="99">
        <v>2.9</v>
      </c>
      <c r="E33" s="99">
        <v>10</v>
      </c>
      <c r="F33" s="102"/>
      <c r="G33" s="99"/>
      <c r="H33" s="99"/>
      <c r="I33" s="99"/>
      <c r="J33" s="99"/>
      <c r="K33" s="99"/>
      <c r="L33" s="102"/>
      <c r="M33" s="99">
        <f t="shared" si="0"/>
        <v>0</v>
      </c>
      <c r="N33" s="111">
        <v>21</v>
      </c>
      <c r="O33" s="17" t="s">
        <v>81</v>
      </c>
      <c r="P33" s="28">
        <v>100</v>
      </c>
      <c r="Q33" s="26">
        <f t="shared" si="15"/>
        <v>21</v>
      </c>
      <c r="R33" s="27">
        <f t="shared" si="1"/>
        <v>1.68</v>
      </c>
      <c r="S33" s="80">
        <f t="shared" si="2"/>
        <v>1.68</v>
      </c>
      <c r="T33" s="34">
        <f t="shared" si="3"/>
        <v>1.3440000000000001</v>
      </c>
      <c r="U33" s="29">
        <f t="shared" si="4"/>
        <v>21</v>
      </c>
      <c r="V33" s="84" t="s">
        <v>179</v>
      </c>
      <c r="W33" s="60" t="s">
        <v>140</v>
      </c>
      <c r="X33" s="60">
        <v>8.4</v>
      </c>
      <c r="Y33" s="60">
        <v>37</v>
      </c>
      <c r="Z33" s="60"/>
      <c r="AA33" s="60"/>
      <c r="AB33" s="60" t="s">
        <v>135</v>
      </c>
      <c r="AC33" s="60" t="s">
        <v>180</v>
      </c>
      <c r="AD33" s="60">
        <v>20</v>
      </c>
      <c r="AE33" s="27">
        <f t="shared" si="5"/>
        <v>0.42</v>
      </c>
      <c r="AF33" s="34">
        <f t="shared" si="6"/>
        <v>420</v>
      </c>
      <c r="AG33" s="81"/>
      <c r="AH33" s="27">
        <v>451.3</v>
      </c>
      <c r="AI33" s="27">
        <f t="shared" si="7"/>
        <v>9477.3000000000011</v>
      </c>
      <c r="AK33" s="52">
        <f t="shared" si="8"/>
        <v>21</v>
      </c>
      <c r="AL33" s="45" t="str">
        <f t="shared" si="8"/>
        <v>Estudio 21</v>
      </c>
      <c r="AM33" s="45">
        <f t="shared" si="9"/>
        <v>3714.4800000000005</v>
      </c>
      <c r="AN33" s="44">
        <f t="shared" si="10"/>
        <v>459.9</v>
      </c>
      <c r="AO33" s="53">
        <f t="shared" si="11"/>
        <v>0.6875</v>
      </c>
      <c r="AP33" s="45">
        <f t="shared" si="12"/>
        <v>575.2152000000001</v>
      </c>
      <c r="AQ33" s="44">
        <f t="shared" si="13"/>
        <v>9477.3000000000011</v>
      </c>
      <c r="AR33" s="44">
        <f t="shared" si="14"/>
        <v>16.476094512106076</v>
      </c>
    </row>
    <row r="34" spans="1:46" ht="15.75" thickBot="1">
      <c r="A34" s="99">
        <f>20+16+6+3+5+5+15</f>
        <v>70</v>
      </c>
      <c r="B34" s="100" t="s">
        <v>82</v>
      </c>
      <c r="C34" s="99"/>
      <c r="D34" s="99">
        <v>3.5</v>
      </c>
      <c r="E34" s="99">
        <v>15</v>
      </c>
      <c r="F34" s="102"/>
      <c r="G34" s="99"/>
      <c r="H34" s="99"/>
      <c r="I34" s="99"/>
      <c r="J34" s="99"/>
      <c r="K34" s="99"/>
      <c r="L34" s="102"/>
      <c r="M34" s="99">
        <f t="shared" si="0"/>
        <v>0</v>
      </c>
      <c r="N34" s="109" t="s">
        <v>209</v>
      </c>
      <c r="O34" s="17" t="s">
        <v>70</v>
      </c>
      <c r="P34" s="28">
        <v>100</v>
      </c>
      <c r="Q34" s="26">
        <f t="shared" si="15"/>
        <v>70</v>
      </c>
      <c r="R34" s="27">
        <f t="shared" si="1"/>
        <v>5.6</v>
      </c>
      <c r="S34" s="80">
        <f t="shared" si="2"/>
        <v>5.6</v>
      </c>
      <c r="T34" s="34">
        <f t="shared" si="3"/>
        <v>4.4799999999999995</v>
      </c>
      <c r="U34" s="29">
        <f t="shared" si="4"/>
        <v>70</v>
      </c>
      <c r="V34" s="84" t="s">
        <v>179</v>
      </c>
      <c r="W34" s="60" t="s">
        <v>140</v>
      </c>
      <c r="X34" s="60">
        <v>8.4</v>
      </c>
      <c r="Y34" s="60">
        <v>37</v>
      </c>
      <c r="Z34" s="60"/>
      <c r="AA34" s="60"/>
      <c r="AB34" s="60" t="s">
        <v>135</v>
      </c>
      <c r="AC34" s="60" t="s">
        <v>180</v>
      </c>
      <c r="AD34" s="60">
        <v>20</v>
      </c>
      <c r="AE34" s="27">
        <f t="shared" si="5"/>
        <v>1.4</v>
      </c>
      <c r="AF34" s="34">
        <f t="shared" si="6"/>
        <v>1400</v>
      </c>
      <c r="AG34" s="81"/>
      <c r="AH34" s="27">
        <v>451.3</v>
      </c>
      <c r="AI34" s="27">
        <f t="shared" si="7"/>
        <v>31591</v>
      </c>
      <c r="AK34" s="52">
        <f t="shared" si="8"/>
        <v>70</v>
      </c>
      <c r="AL34" s="45" t="str">
        <f t="shared" si="8"/>
        <v>Estudio 21</v>
      </c>
      <c r="AM34" s="45">
        <f t="shared" si="9"/>
        <v>12381.599999999999</v>
      </c>
      <c r="AN34" s="44">
        <f t="shared" si="10"/>
        <v>1532.9999999999998</v>
      </c>
      <c r="AO34" s="53">
        <f t="shared" si="11"/>
        <v>0.6875</v>
      </c>
      <c r="AP34" s="45">
        <f t="shared" si="12"/>
        <v>1917.384</v>
      </c>
      <c r="AQ34" s="44">
        <f t="shared" si="13"/>
        <v>31591</v>
      </c>
      <c r="AR34" s="44">
        <f t="shared" si="14"/>
        <v>16.476094512106076</v>
      </c>
    </row>
    <row r="35" spans="1:46" ht="15.75" thickBot="1">
      <c r="A35" s="99">
        <v>4</v>
      </c>
      <c r="B35" s="100" t="s">
        <v>82</v>
      </c>
      <c r="C35" s="99"/>
      <c r="D35" s="99">
        <v>6.8</v>
      </c>
      <c r="E35" s="99">
        <v>10</v>
      </c>
      <c r="F35" s="102"/>
      <c r="G35" s="99"/>
      <c r="H35" s="99"/>
      <c r="I35" s="99"/>
      <c r="J35" s="99"/>
      <c r="K35" s="99"/>
      <c r="L35" s="102"/>
      <c r="M35" s="99">
        <f t="shared" si="0"/>
        <v>0</v>
      </c>
      <c r="N35" s="111">
        <v>4</v>
      </c>
      <c r="O35" s="17" t="s">
        <v>70</v>
      </c>
      <c r="P35" s="28">
        <v>70</v>
      </c>
      <c r="Q35" s="26">
        <f t="shared" si="15"/>
        <v>4</v>
      </c>
      <c r="R35" s="27">
        <f t="shared" si="1"/>
        <v>0.224</v>
      </c>
      <c r="S35" s="80">
        <f t="shared" si="2"/>
        <v>0.224</v>
      </c>
      <c r="T35" s="34">
        <f t="shared" si="3"/>
        <v>0.17920000000000003</v>
      </c>
      <c r="U35" s="29">
        <f t="shared" si="4"/>
        <v>4</v>
      </c>
      <c r="V35" s="84" t="s">
        <v>181</v>
      </c>
      <c r="W35" s="60" t="s">
        <v>140</v>
      </c>
      <c r="X35" s="60">
        <v>7.5</v>
      </c>
      <c r="Y35" s="60">
        <v>45</v>
      </c>
      <c r="Z35" s="60"/>
      <c r="AA35" s="60"/>
      <c r="AB35" s="60" t="s">
        <v>135</v>
      </c>
      <c r="AC35" s="60" t="s">
        <v>182</v>
      </c>
      <c r="AD35" s="60">
        <v>26</v>
      </c>
      <c r="AE35" s="27">
        <f t="shared" si="5"/>
        <v>0.104</v>
      </c>
      <c r="AF35" s="34">
        <f t="shared" si="6"/>
        <v>104</v>
      </c>
      <c r="AG35" s="81"/>
      <c r="AH35" s="27">
        <v>319.39999999999998</v>
      </c>
      <c r="AI35" s="27">
        <f t="shared" si="7"/>
        <v>1277.5999999999999</v>
      </c>
      <c r="AK35" s="52">
        <f t="shared" si="8"/>
        <v>4</v>
      </c>
      <c r="AL35" s="45" t="str">
        <f t="shared" si="8"/>
        <v>Estudio 24</v>
      </c>
      <c r="AM35" s="45">
        <f t="shared" si="9"/>
        <v>302.30400000000014</v>
      </c>
      <c r="AN35" s="44">
        <f t="shared" si="10"/>
        <v>43.800000000000004</v>
      </c>
      <c r="AO35" s="53">
        <f t="shared" si="11"/>
        <v>0.41964285714285721</v>
      </c>
      <c r="AP35" s="45">
        <f t="shared" si="12"/>
        <v>47.578560000000024</v>
      </c>
      <c r="AQ35" s="44">
        <f t="shared" si="13"/>
        <v>1277.5999999999999</v>
      </c>
      <c r="AR35" s="44">
        <f t="shared" si="14"/>
        <v>26.852431010942727</v>
      </c>
    </row>
    <row r="36" spans="1:46" ht="15.75" thickBot="1">
      <c r="A36" s="99">
        <v>12</v>
      </c>
      <c r="B36" s="100" t="s">
        <v>82</v>
      </c>
      <c r="C36" s="99"/>
      <c r="D36" s="99">
        <v>4</v>
      </c>
      <c r="E36" s="99">
        <v>17</v>
      </c>
      <c r="F36" s="102"/>
      <c r="G36" s="99"/>
      <c r="H36" s="99"/>
      <c r="I36" s="99"/>
      <c r="J36" s="99"/>
      <c r="K36" s="99"/>
      <c r="L36" s="102"/>
      <c r="M36" s="99">
        <f t="shared" si="0"/>
        <v>0</v>
      </c>
      <c r="N36" s="111">
        <v>12</v>
      </c>
      <c r="O36" s="17" t="s">
        <v>70</v>
      </c>
      <c r="P36" s="28">
        <v>150</v>
      </c>
      <c r="Q36" s="26">
        <f t="shared" si="15"/>
        <v>12</v>
      </c>
      <c r="R36" s="27">
        <f t="shared" si="1"/>
        <v>1.44</v>
      </c>
      <c r="S36" s="80">
        <f t="shared" si="2"/>
        <v>1.44</v>
      </c>
      <c r="T36" s="34">
        <f t="shared" si="3"/>
        <v>1.1519999999999999</v>
      </c>
      <c r="U36" s="29">
        <f t="shared" si="4"/>
        <v>12</v>
      </c>
      <c r="V36" s="60" t="s">
        <v>175</v>
      </c>
      <c r="W36" s="60" t="s">
        <v>140</v>
      </c>
      <c r="X36" s="60">
        <v>4.8</v>
      </c>
      <c r="Y36" s="60">
        <v>51</v>
      </c>
      <c r="Z36" s="60"/>
      <c r="AA36" s="60"/>
      <c r="AB36" s="60" t="s">
        <v>135</v>
      </c>
      <c r="AC36" s="60" t="s">
        <v>176</v>
      </c>
      <c r="AD36" s="60">
        <v>26</v>
      </c>
      <c r="AE36" s="27">
        <f t="shared" si="5"/>
        <v>0.312</v>
      </c>
      <c r="AF36" s="34">
        <f t="shared" si="6"/>
        <v>312</v>
      </c>
      <c r="AG36" s="81"/>
      <c r="AH36" s="27">
        <v>451.3</v>
      </c>
      <c r="AI36" s="27">
        <f t="shared" si="7"/>
        <v>5415.6</v>
      </c>
      <c r="AK36" s="52">
        <f t="shared" si="8"/>
        <v>12</v>
      </c>
      <c r="AL36" s="45" t="str">
        <f t="shared" si="8"/>
        <v>Estudio 22</v>
      </c>
      <c r="AM36" s="45">
        <f t="shared" si="9"/>
        <v>3376.7999999999993</v>
      </c>
      <c r="AN36" s="44">
        <f t="shared" si="10"/>
        <v>411.71999999999997</v>
      </c>
      <c r="AO36" s="53">
        <f t="shared" si="11"/>
        <v>0.72916666666666663</v>
      </c>
      <c r="AP36" s="45">
        <f t="shared" si="12"/>
        <v>522.15839999999992</v>
      </c>
      <c r="AQ36" s="44">
        <f t="shared" si="13"/>
        <v>5415.6</v>
      </c>
      <c r="AR36" s="44">
        <f t="shared" si="14"/>
        <v>10.371565410036498</v>
      </c>
    </row>
    <row r="37" spans="1:46" ht="15.75" thickBot="1">
      <c r="A37" s="99">
        <v>5</v>
      </c>
      <c r="B37" s="100" t="s">
        <v>82</v>
      </c>
      <c r="C37" s="99"/>
      <c r="D37" s="99">
        <v>2.4</v>
      </c>
      <c r="E37" s="99">
        <v>21</v>
      </c>
      <c r="F37" s="102"/>
      <c r="G37" s="99"/>
      <c r="H37" s="99"/>
      <c r="I37" s="99"/>
      <c r="J37" s="99"/>
      <c r="K37" s="99"/>
      <c r="L37" s="102"/>
      <c r="M37" s="99">
        <f t="shared" si="0"/>
        <v>0</v>
      </c>
      <c r="N37" s="111">
        <v>5</v>
      </c>
      <c r="O37" s="17" t="s">
        <v>81</v>
      </c>
      <c r="P37" s="28">
        <v>100</v>
      </c>
      <c r="Q37" s="26">
        <f t="shared" si="15"/>
        <v>5</v>
      </c>
      <c r="R37" s="27">
        <f t="shared" si="1"/>
        <v>0.4</v>
      </c>
      <c r="S37" s="80">
        <f t="shared" si="2"/>
        <v>0.4</v>
      </c>
      <c r="T37" s="34">
        <f t="shared" si="3"/>
        <v>0.32000000000000006</v>
      </c>
      <c r="U37" s="29">
        <f t="shared" si="4"/>
        <v>5</v>
      </c>
      <c r="V37" s="84" t="s">
        <v>179</v>
      </c>
      <c r="W37" s="60" t="s">
        <v>140</v>
      </c>
      <c r="X37" s="60">
        <v>8.4</v>
      </c>
      <c r="Y37" s="60">
        <v>37</v>
      </c>
      <c r="Z37" s="60"/>
      <c r="AA37" s="60"/>
      <c r="AB37" s="60" t="s">
        <v>135</v>
      </c>
      <c r="AC37" s="60" t="s">
        <v>180</v>
      </c>
      <c r="AD37" s="60">
        <v>20</v>
      </c>
      <c r="AE37" s="27">
        <f t="shared" si="5"/>
        <v>0.1</v>
      </c>
      <c r="AF37" s="34">
        <f t="shared" si="6"/>
        <v>100</v>
      </c>
      <c r="AG37" s="81"/>
      <c r="AH37" s="27">
        <v>430.4</v>
      </c>
      <c r="AI37" s="27">
        <f t="shared" si="7"/>
        <v>2152</v>
      </c>
      <c r="AK37" s="52">
        <f t="shared" si="8"/>
        <v>5</v>
      </c>
      <c r="AL37" s="45" t="str">
        <f t="shared" si="8"/>
        <v>Estudio 21</v>
      </c>
      <c r="AM37" s="45">
        <f t="shared" si="9"/>
        <v>884.4000000000002</v>
      </c>
      <c r="AN37" s="44">
        <f t="shared" si="10"/>
        <v>109.50000000000001</v>
      </c>
      <c r="AO37" s="53">
        <f t="shared" si="11"/>
        <v>0.6875</v>
      </c>
      <c r="AP37" s="45">
        <f t="shared" si="12"/>
        <v>136.95600000000005</v>
      </c>
      <c r="AQ37" s="44">
        <f t="shared" si="13"/>
        <v>2152</v>
      </c>
      <c r="AR37" s="44">
        <f t="shared" si="14"/>
        <v>15.713075732351991</v>
      </c>
    </row>
    <row r="38" spans="1:46" ht="15.75" thickBot="1">
      <c r="A38" s="99">
        <f>38+4</f>
        <v>42</v>
      </c>
      <c r="B38" s="100" t="s">
        <v>82</v>
      </c>
      <c r="C38" s="99"/>
      <c r="D38" s="99">
        <v>3.6</v>
      </c>
      <c r="E38" s="99">
        <v>14</v>
      </c>
      <c r="F38" s="102"/>
      <c r="G38" s="99"/>
      <c r="H38" s="99"/>
      <c r="I38" s="99"/>
      <c r="J38" s="99"/>
      <c r="K38" s="99"/>
      <c r="L38" s="102"/>
      <c r="M38" s="99">
        <f t="shared" si="0"/>
        <v>0</v>
      </c>
      <c r="N38" s="109" t="s">
        <v>210</v>
      </c>
      <c r="O38" s="17" t="s">
        <v>80</v>
      </c>
      <c r="P38" s="28">
        <v>125</v>
      </c>
      <c r="Q38" s="26">
        <f t="shared" si="15"/>
        <v>42</v>
      </c>
      <c r="R38" s="27">
        <f t="shared" si="1"/>
        <v>4.2</v>
      </c>
      <c r="S38" s="80">
        <f t="shared" si="2"/>
        <v>4.2</v>
      </c>
      <c r="T38" s="34">
        <f t="shared" si="3"/>
        <v>3.3600000000000003</v>
      </c>
      <c r="U38" s="29">
        <f t="shared" si="4"/>
        <v>42</v>
      </c>
      <c r="V38" s="84" t="s">
        <v>179</v>
      </c>
      <c r="W38" s="60" t="s">
        <v>140</v>
      </c>
      <c r="X38" s="60">
        <v>8.4</v>
      </c>
      <c r="Y38" s="60">
        <v>37</v>
      </c>
      <c r="Z38" s="60"/>
      <c r="AA38" s="60"/>
      <c r="AB38" s="60" t="s">
        <v>135</v>
      </c>
      <c r="AC38" s="60" t="s">
        <v>180</v>
      </c>
      <c r="AD38" s="60">
        <v>20</v>
      </c>
      <c r="AE38" s="27">
        <f t="shared" si="5"/>
        <v>0.84</v>
      </c>
      <c r="AF38" s="34">
        <f t="shared" si="6"/>
        <v>840</v>
      </c>
      <c r="AG38" s="81"/>
      <c r="AH38" s="27">
        <v>430.4</v>
      </c>
      <c r="AI38" s="27">
        <f t="shared" si="7"/>
        <v>18076.8</v>
      </c>
      <c r="AK38" s="52">
        <f t="shared" si="8"/>
        <v>42</v>
      </c>
      <c r="AL38" s="45" t="str">
        <f t="shared" si="8"/>
        <v>Estudio 21</v>
      </c>
      <c r="AM38" s="45">
        <f t="shared" si="9"/>
        <v>10130.400000000001</v>
      </c>
      <c r="AN38" s="44">
        <f t="shared" si="10"/>
        <v>1226.4000000000001</v>
      </c>
      <c r="AO38" s="53">
        <f t="shared" si="11"/>
        <v>0.75</v>
      </c>
      <c r="AP38" s="45">
        <f t="shared" si="12"/>
        <v>1565.4240000000004</v>
      </c>
      <c r="AQ38" s="44">
        <f t="shared" si="13"/>
        <v>18076.8</v>
      </c>
      <c r="AR38" s="44">
        <f t="shared" si="14"/>
        <v>11.547542391071042</v>
      </c>
    </row>
    <row r="39" spans="1:46" ht="15.75" thickBot="1">
      <c r="A39" s="104">
        <f>SUM(A5:A38)</f>
        <v>4371</v>
      </c>
      <c r="B39" s="104"/>
      <c r="C39" s="104"/>
      <c r="D39" s="104"/>
      <c r="E39" s="104"/>
      <c r="F39" s="105"/>
      <c r="G39" s="104"/>
      <c r="H39" s="104"/>
      <c r="I39" s="104"/>
      <c r="J39" s="106"/>
      <c r="K39" s="104"/>
      <c r="L39" s="105"/>
      <c r="M39" s="104"/>
      <c r="N39" s="107"/>
      <c r="O39" s="32"/>
      <c r="P39" s="32">
        <f>SUM(R5:R38)*1000</f>
        <v>523744</v>
      </c>
      <c r="Q39" s="33">
        <f>SUM(Q5:Q38)</f>
        <v>4371</v>
      </c>
      <c r="R39" s="42">
        <f>SUM(R5:R38)</f>
        <v>523.74400000000003</v>
      </c>
      <c r="S39" s="80">
        <f>SUM(S5:S38)</f>
        <v>523.74400000000003</v>
      </c>
      <c r="T39" s="34">
        <f>SUM(T5:T38)</f>
        <v>418.99519999999995</v>
      </c>
      <c r="U39" s="61">
        <f>SUM(U5:U15)</f>
        <v>2608</v>
      </c>
      <c r="V39" s="61"/>
      <c r="W39" s="61"/>
      <c r="X39" s="61"/>
      <c r="Y39" s="61"/>
      <c r="Z39" s="61"/>
      <c r="AA39" s="61"/>
      <c r="AB39" s="61"/>
      <c r="AC39" s="61">
        <f>SUM(AC5:AC15)</f>
        <v>0</v>
      </c>
      <c r="AD39" s="61">
        <f>SUM(AD5:AD15)</f>
        <v>362</v>
      </c>
      <c r="AE39" s="42">
        <f>SUM(AE5:AE38)</f>
        <v>156.53400000000005</v>
      </c>
      <c r="AF39" s="34">
        <f>SUM(AF5:AF38)</f>
        <v>156534</v>
      </c>
      <c r="AG39" s="81">
        <f>SUM(AG5:AG15)</f>
        <v>0</v>
      </c>
      <c r="AH39" s="42"/>
      <c r="AI39" s="42">
        <f>SUM(AI5:AI38)</f>
        <v>1511614.36</v>
      </c>
      <c r="AK39" s="54">
        <f>SUM(AK5:AK38)</f>
        <v>4371</v>
      </c>
      <c r="AL39" s="55" t="s">
        <v>98</v>
      </c>
      <c r="AM39" s="71">
        <f>SUM(AM5:AM38)</f>
        <v>1055094.0240000002</v>
      </c>
      <c r="AN39" s="71">
        <f>SUM(AN5:AN38)</f>
        <v>134031.65</v>
      </c>
      <c r="AO39" s="72">
        <f>AVERAGE(AO5:AO38)</f>
        <v>0.56897321428571435</v>
      </c>
      <c r="AP39" s="56">
        <f>SUM(AP5:AP38)</f>
        <v>163796.96136000002</v>
      </c>
      <c r="AQ39" s="56">
        <f>SUM(AQ5:AQ38)</f>
        <v>1511614.36</v>
      </c>
      <c r="AR39" s="57">
        <f t="shared" si="14"/>
        <v>9.2285860949380432</v>
      </c>
    </row>
    <row r="40" spans="1:46" ht="15.75" thickBo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70" t="s">
        <v>7</v>
      </c>
      <c r="O40" s="74">
        <f>AM46</f>
        <v>0.14000000000000001</v>
      </c>
      <c r="P40" s="87"/>
      <c r="Q40" s="88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70" t="s">
        <v>7</v>
      </c>
      <c r="AD40" s="74">
        <f>AM46</f>
        <v>0.14000000000000001</v>
      </c>
      <c r="AE40" s="89"/>
      <c r="AF40" s="24"/>
      <c r="AG40" s="24"/>
    </row>
    <row r="41" spans="1:46" ht="15.75" thickBo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70" t="s">
        <v>10</v>
      </c>
      <c r="O41" s="34">
        <v>4020</v>
      </c>
      <c r="P41" s="87"/>
      <c r="Q41" s="88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70" t="s">
        <v>10</v>
      </c>
      <c r="AD41" s="34">
        <v>4020</v>
      </c>
      <c r="AE41" s="89"/>
      <c r="AF41" s="24"/>
      <c r="AG41" s="24"/>
    </row>
    <row r="42" spans="1:46" ht="15.75" thickBo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70" t="s">
        <v>12</v>
      </c>
      <c r="O42" s="34">
        <v>0.8</v>
      </c>
      <c r="P42" s="87"/>
      <c r="Q42" s="88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70" t="s">
        <v>12</v>
      </c>
      <c r="AD42" s="34"/>
      <c r="AE42" s="89"/>
      <c r="AF42" s="24"/>
      <c r="AG42" s="24"/>
    </row>
    <row r="43" spans="1:46" ht="15.75" thickBo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70" t="s">
        <v>11</v>
      </c>
      <c r="O43" s="34">
        <v>0</v>
      </c>
      <c r="P43" s="87" t="s">
        <v>189</v>
      </c>
      <c r="Q43" s="88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70" t="s">
        <v>11</v>
      </c>
      <c r="AD43" s="34"/>
      <c r="AE43" s="89"/>
      <c r="AF43" s="24"/>
      <c r="AG43" s="24"/>
      <c r="AL43" s="126" t="s">
        <v>106</v>
      </c>
      <c r="AM43" s="128">
        <f>P44-AD44</f>
        <v>147713.16336000004</v>
      </c>
      <c r="AN43" s="79"/>
    </row>
    <row r="44" spans="1:46" ht="22.5" customHeight="1" thickBo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70" t="s">
        <v>186</v>
      </c>
      <c r="O44" s="46">
        <f>O40*(P39*O41)/1000</f>
        <v>294763.12320000003</v>
      </c>
      <c r="P44" s="87">
        <f>O44*O42</f>
        <v>235810.49856000004</v>
      </c>
      <c r="Q44" s="88"/>
      <c r="R44" s="24">
        <f>T39*O41</f>
        <v>1684360.7039999999</v>
      </c>
      <c r="S44" s="95">
        <f>R44*O40</f>
        <v>235810.49856000001</v>
      </c>
      <c r="T44" s="24"/>
      <c r="U44" s="24"/>
      <c r="V44" s="24"/>
      <c r="W44" s="24"/>
      <c r="X44" s="24"/>
      <c r="Y44" s="24"/>
      <c r="Z44" s="24"/>
      <c r="AA44" s="24"/>
      <c r="AB44" s="24"/>
      <c r="AC44" s="70" t="s">
        <v>8</v>
      </c>
      <c r="AD44" s="46">
        <f>AD40*(AF39*AD41+AF39*AD42*AD43)/1000</f>
        <v>88097.335200000001</v>
      </c>
      <c r="AE44" s="89"/>
      <c r="AF44" s="24"/>
      <c r="AG44" s="24"/>
      <c r="AL44" s="126"/>
      <c r="AM44" s="128"/>
      <c r="AN44" s="79"/>
    </row>
    <row r="45" spans="1:46" ht="31.5" customHeight="1" thickBo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70" t="s">
        <v>187</v>
      </c>
      <c r="O45" s="73">
        <f>R39*365*AM47</f>
        <v>22939.9872</v>
      </c>
      <c r="P45" s="87"/>
      <c r="Q45" s="88"/>
      <c r="R45" s="24">
        <f>S39*365</f>
        <v>191166.56</v>
      </c>
      <c r="S45" s="24">
        <f>R45*AM47</f>
        <v>22939.9872</v>
      </c>
      <c r="T45" s="24"/>
      <c r="U45" s="24"/>
      <c r="V45" s="24"/>
      <c r="W45" s="24"/>
      <c r="X45" s="24"/>
      <c r="Y45" s="24"/>
      <c r="Z45" s="24"/>
      <c r="AA45" s="24"/>
      <c r="AB45" s="24"/>
      <c r="AC45" s="70" t="s">
        <v>187</v>
      </c>
      <c r="AD45" s="73">
        <f>AE39*365*AM47</f>
        <v>6856.1892000000016</v>
      </c>
      <c r="AE45" s="89"/>
      <c r="AF45" s="24"/>
      <c r="AG45" s="24"/>
      <c r="AL45" s="78" t="s">
        <v>185</v>
      </c>
      <c r="AM45" s="79">
        <f>O45-AD45</f>
        <v>16083.797999999999</v>
      </c>
      <c r="AN45" s="79"/>
    </row>
    <row r="46" spans="1:46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87"/>
      <c r="Q46" s="88"/>
      <c r="R46" s="24"/>
      <c r="S46" s="95">
        <f>SUM(S44:S45)</f>
        <v>258750.48576000001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L46" s="35" t="s">
        <v>188</v>
      </c>
      <c r="AM46" s="79">
        <v>0.14000000000000001</v>
      </c>
    </row>
    <row r="47" spans="1:46" ht="15.75" thickBo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70" t="s">
        <v>190</v>
      </c>
      <c r="O47" s="24"/>
      <c r="P47" s="87"/>
      <c r="Q47" s="88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L47" s="35" t="s">
        <v>184</v>
      </c>
      <c r="AM47" s="35">
        <v>0.12</v>
      </c>
    </row>
    <row r="48" spans="1:46" ht="15.75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87"/>
      <c r="Q48" s="88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S48" s="47" t="s">
        <v>107</v>
      </c>
      <c r="AT48" s="48">
        <f>AQ39</f>
        <v>1511614.36</v>
      </c>
    </row>
    <row r="49" spans="1:52" ht="15.75" thickBo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87"/>
      <c r="Q49" s="88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S49" s="47" t="s">
        <v>110</v>
      </c>
      <c r="AT49" s="49">
        <v>4020</v>
      </c>
    </row>
    <row r="50" spans="1:52" ht="15.75" thickBot="1">
      <c r="AS50" s="47" t="s">
        <v>108</v>
      </c>
      <c r="AT50" s="49">
        <v>100000</v>
      </c>
    </row>
    <row r="51" spans="1:52" ht="15.75" thickBot="1">
      <c r="B51" s="24" t="s">
        <v>72</v>
      </c>
      <c r="O51" s="35" t="s">
        <v>71</v>
      </c>
      <c r="P51" s="24">
        <v>150</v>
      </c>
      <c r="Q51" s="35">
        <f>6</f>
        <v>6</v>
      </c>
      <c r="AS51" s="47" t="s">
        <v>109</v>
      </c>
      <c r="AT51" s="49">
        <f>AT50/AT49</f>
        <v>24.875621890547265</v>
      </c>
    </row>
    <row r="52" spans="1:52" ht="15.75" thickBot="1">
      <c r="A52" s="35">
        <f>SUM(A28:A38)</f>
        <v>424</v>
      </c>
      <c r="B52" s="24" t="s">
        <v>72</v>
      </c>
      <c r="O52" s="35" t="s">
        <v>71</v>
      </c>
      <c r="P52" s="24">
        <v>100</v>
      </c>
      <c r="Q52" s="35">
        <f>6</f>
        <v>6</v>
      </c>
      <c r="AS52" s="47" t="s">
        <v>111</v>
      </c>
      <c r="AT52" s="50">
        <f>AM43</f>
        <v>147713.16336000004</v>
      </c>
    </row>
    <row r="53" spans="1:52" ht="15.75" thickBot="1">
      <c r="A53" s="35">
        <f>A39-A52</f>
        <v>3947</v>
      </c>
      <c r="AS53" s="47" t="s">
        <v>112</v>
      </c>
      <c r="AT53" s="50">
        <f>AM45</f>
        <v>16083.797999999999</v>
      </c>
    </row>
    <row r="54" spans="1:52" ht="15.75" thickBot="1">
      <c r="AS54" s="47" t="s">
        <v>113</v>
      </c>
      <c r="AT54" s="50">
        <f>AT48/(AT52+AT53)</f>
        <v>9.2285860949380414</v>
      </c>
    </row>
    <row r="55" spans="1:52" ht="15.75" thickBot="1">
      <c r="AS55" s="47" t="s">
        <v>114</v>
      </c>
      <c r="AT55" s="51">
        <f>AX98</f>
        <v>9.7858587327175783E-2</v>
      </c>
    </row>
    <row r="56" spans="1:52" ht="15.75" thickBot="1">
      <c r="AS56" s="47" t="s">
        <v>116</v>
      </c>
      <c r="AT56" s="50">
        <f>AX97</f>
        <v>1489048.1901173519</v>
      </c>
    </row>
    <row r="57" spans="1:52">
      <c r="A57" s="35" t="s">
        <v>52</v>
      </c>
    </row>
    <row r="59" spans="1:52" ht="15.75" thickBot="1"/>
    <row r="60" spans="1:52" ht="15.75" thickBot="1">
      <c r="AS60" s="47" t="s">
        <v>107</v>
      </c>
      <c r="AT60" s="48">
        <f>AT48</f>
        <v>1511614.36</v>
      </c>
    </row>
    <row r="61" spans="1:52" ht="15.75" thickBot="1">
      <c r="AS61" s="47" t="s">
        <v>110</v>
      </c>
      <c r="AT61" s="75">
        <f t="shared" ref="AT61:AT68" si="16">AT49</f>
        <v>4020</v>
      </c>
      <c r="AW61" s="35" t="s">
        <v>126</v>
      </c>
      <c r="AX61" s="35" t="s">
        <v>123</v>
      </c>
      <c r="AY61" s="35" t="s">
        <v>124</v>
      </c>
      <c r="AZ61" s="35" t="s">
        <v>125</v>
      </c>
    </row>
    <row r="62" spans="1:52" ht="15.75" thickBot="1">
      <c r="AS62" s="47" t="s">
        <v>108</v>
      </c>
      <c r="AT62" s="75">
        <f t="shared" si="16"/>
        <v>100000</v>
      </c>
      <c r="AW62" s="35" t="s">
        <v>130</v>
      </c>
      <c r="AX62" s="35">
        <f>-AX94</f>
        <v>-1511614.36</v>
      </c>
      <c r="AZ62" s="35">
        <f>-AX94</f>
        <v>-1511614.36</v>
      </c>
    </row>
    <row r="63" spans="1:52" ht="15.75" thickBot="1">
      <c r="AS63" s="47" t="s">
        <v>109</v>
      </c>
      <c r="AT63" s="75">
        <f t="shared" si="16"/>
        <v>24.875621890547265</v>
      </c>
      <c r="AW63" s="35">
        <v>1</v>
      </c>
      <c r="AX63" s="91">
        <f>$AM$43+$AM$45</f>
        <v>163796.96136000004</v>
      </c>
      <c r="AZ63" s="35">
        <f>AX63-AY63</f>
        <v>163796.96136000004</v>
      </c>
    </row>
    <row r="64" spans="1:52" ht="15.75" thickBot="1">
      <c r="AS64" s="47" t="s">
        <v>111</v>
      </c>
      <c r="AT64" s="48">
        <f t="shared" si="16"/>
        <v>147713.16336000004</v>
      </c>
      <c r="AW64" s="35">
        <v>2</v>
      </c>
      <c r="AX64" s="91">
        <f t="shared" ref="AX64:AX87" si="17">$AM$43+$AM$45</f>
        <v>163796.96136000004</v>
      </c>
      <c r="AZ64" s="35">
        <f t="shared" ref="AZ64:AZ87" si="18">AX64-AY64</f>
        <v>163796.96136000004</v>
      </c>
    </row>
    <row r="65" spans="45:52" ht="15.75" thickBot="1">
      <c r="AS65" s="47"/>
      <c r="AT65" s="48"/>
      <c r="AW65" s="35">
        <v>3</v>
      </c>
      <c r="AX65" s="91">
        <f t="shared" si="17"/>
        <v>163796.96136000004</v>
      </c>
      <c r="AZ65" s="35">
        <f t="shared" si="18"/>
        <v>163796.96136000004</v>
      </c>
    </row>
    <row r="66" spans="45:52" ht="15.75" thickBot="1">
      <c r="AS66" s="47" t="s">
        <v>113</v>
      </c>
      <c r="AT66" s="58">
        <f t="shared" si="16"/>
        <v>9.2285860949380414</v>
      </c>
      <c r="AW66" s="35">
        <v>4</v>
      </c>
      <c r="AX66" s="91">
        <f t="shared" si="17"/>
        <v>163796.96136000004</v>
      </c>
      <c r="AZ66" s="35">
        <f t="shared" si="18"/>
        <v>163796.96136000004</v>
      </c>
    </row>
    <row r="67" spans="45:52" ht="15.75" thickBot="1">
      <c r="AS67" s="47" t="s">
        <v>114</v>
      </c>
      <c r="AT67" s="51">
        <f t="shared" si="16"/>
        <v>9.7858587327175783E-2</v>
      </c>
      <c r="AW67" s="35">
        <v>5</v>
      </c>
      <c r="AX67" s="91">
        <f t="shared" si="17"/>
        <v>163796.96136000004</v>
      </c>
      <c r="AZ67" s="35">
        <f t="shared" si="18"/>
        <v>163796.96136000004</v>
      </c>
    </row>
    <row r="68" spans="45:52" ht="15.75" thickBot="1">
      <c r="AS68" s="47" t="s">
        <v>116</v>
      </c>
      <c r="AT68" s="48">
        <f t="shared" si="16"/>
        <v>1489048.1901173519</v>
      </c>
      <c r="AW68" s="35">
        <v>6</v>
      </c>
      <c r="AX68" s="91">
        <f t="shared" si="17"/>
        <v>163796.96136000004</v>
      </c>
      <c r="AZ68" s="35">
        <f t="shared" si="18"/>
        <v>163796.96136000004</v>
      </c>
    </row>
    <row r="69" spans="45:52">
      <c r="AW69" s="35">
        <v>7</v>
      </c>
      <c r="AX69" s="91">
        <f t="shared" si="17"/>
        <v>163796.96136000004</v>
      </c>
      <c r="AZ69" s="35">
        <f t="shared" si="18"/>
        <v>163796.96136000004</v>
      </c>
    </row>
    <row r="70" spans="45:52">
      <c r="AW70" s="35">
        <v>8</v>
      </c>
      <c r="AX70" s="91">
        <f t="shared" si="17"/>
        <v>163796.96136000004</v>
      </c>
      <c r="AZ70" s="35">
        <f t="shared" si="18"/>
        <v>163796.96136000004</v>
      </c>
    </row>
    <row r="71" spans="45:52">
      <c r="AW71" s="35">
        <v>9</v>
      </c>
      <c r="AX71" s="91">
        <f t="shared" si="17"/>
        <v>163796.96136000004</v>
      </c>
      <c r="AZ71" s="35">
        <f t="shared" si="18"/>
        <v>163796.96136000004</v>
      </c>
    </row>
    <row r="72" spans="45:52">
      <c r="AW72" s="35">
        <v>10</v>
      </c>
      <c r="AX72" s="91">
        <f t="shared" si="17"/>
        <v>163796.96136000004</v>
      </c>
      <c r="AZ72" s="35">
        <f t="shared" si="18"/>
        <v>163796.96136000004</v>
      </c>
    </row>
    <row r="73" spans="45:52">
      <c r="AW73" s="35">
        <v>11</v>
      </c>
      <c r="AX73" s="91">
        <f t="shared" si="17"/>
        <v>163796.96136000004</v>
      </c>
      <c r="AZ73" s="35">
        <f t="shared" si="18"/>
        <v>163796.96136000004</v>
      </c>
    </row>
    <row r="74" spans="45:52">
      <c r="AW74" s="35">
        <v>12</v>
      </c>
      <c r="AX74" s="91">
        <f t="shared" si="17"/>
        <v>163796.96136000004</v>
      </c>
      <c r="AZ74" s="35">
        <f t="shared" si="18"/>
        <v>163796.96136000004</v>
      </c>
    </row>
    <row r="75" spans="45:52">
      <c r="AW75" s="35">
        <v>13</v>
      </c>
      <c r="AX75" s="91">
        <f t="shared" si="17"/>
        <v>163796.96136000004</v>
      </c>
      <c r="AZ75" s="35">
        <f t="shared" si="18"/>
        <v>163796.96136000004</v>
      </c>
    </row>
    <row r="76" spans="45:52">
      <c r="AW76" s="35">
        <v>14</v>
      </c>
      <c r="AX76" s="91">
        <f t="shared" si="17"/>
        <v>163796.96136000004</v>
      </c>
      <c r="AZ76" s="35">
        <f t="shared" si="18"/>
        <v>163796.96136000004</v>
      </c>
    </row>
    <row r="77" spans="45:52">
      <c r="AW77" s="35">
        <v>15</v>
      </c>
      <c r="AX77" s="91">
        <f t="shared" si="17"/>
        <v>163796.96136000004</v>
      </c>
      <c r="AZ77" s="35">
        <f t="shared" si="18"/>
        <v>163796.96136000004</v>
      </c>
    </row>
    <row r="78" spans="45:52">
      <c r="AW78" s="35">
        <v>16</v>
      </c>
      <c r="AX78" s="91">
        <f t="shared" si="17"/>
        <v>163796.96136000004</v>
      </c>
      <c r="AZ78" s="35">
        <f t="shared" si="18"/>
        <v>163796.96136000004</v>
      </c>
    </row>
    <row r="79" spans="45:52">
      <c r="AW79" s="35">
        <v>17</v>
      </c>
      <c r="AX79" s="91">
        <f t="shared" si="17"/>
        <v>163796.96136000004</v>
      </c>
      <c r="AZ79" s="35">
        <f t="shared" si="18"/>
        <v>163796.96136000004</v>
      </c>
    </row>
    <row r="80" spans="45:52">
      <c r="AW80" s="35">
        <v>18</v>
      </c>
      <c r="AX80" s="91">
        <f t="shared" si="17"/>
        <v>163796.96136000004</v>
      </c>
      <c r="AZ80" s="35">
        <f t="shared" si="18"/>
        <v>163796.96136000004</v>
      </c>
    </row>
    <row r="81" spans="49:52">
      <c r="AW81" s="35">
        <v>19</v>
      </c>
      <c r="AX81" s="91">
        <f t="shared" si="17"/>
        <v>163796.96136000004</v>
      </c>
      <c r="AZ81" s="35">
        <f t="shared" si="18"/>
        <v>163796.96136000004</v>
      </c>
    </row>
    <row r="82" spans="49:52">
      <c r="AW82" s="35">
        <v>20</v>
      </c>
      <c r="AX82" s="91">
        <f t="shared" si="17"/>
        <v>163796.96136000004</v>
      </c>
      <c r="AZ82" s="35">
        <f t="shared" si="18"/>
        <v>163796.96136000004</v>
      </c>
    </row>
    <row r="83" spans="49:52">
      <c r="AW83" s="35">
        <v>21</v>
      </c>
      <c r="AX83" s="91">
        <f t="shared" si="17"/>
        <v>163796.96136000004</v>
      </c>
      <c r="AZ83" s="35">
        <f t="shared" si="18"/>
        <v>163796.96136000004</v>
      </c>
    </row>
    <row r="84" spans="49:52">
      <c r="AW84" s="35">
        <v>22</v>
      </c>
      <c r="AX84" s="91">
        <f t="shared" si="17"/>
        <v>163796.96136000004</v>
      </c>
      <c r="AZ84" s="35">
        <f t="shared" si="18"/>
        <v>163796.96136000004</v>
      </c>
    </row>
    <row r="85" spans="49:52">
      <c r="AW85" s="35">
        <v>23</v>
      </c>
      <c r="AX85" s="91">
        <f t="shared" si="17"/>
        <v>163796.96136000004</v>
      </c>
      <c r="AZ85" s="35">
        <f t="shared" si="18"/>
        <v>163796.96136000004</v>
      </c>
    </row>
    <row r="86" spans="49:52">
      <c r="AW86" s="35">
        <v>24</v>
      </c>
      <c r="AX86" s="91">
        <f t="shared" si="17"/>
        <v>163796.96136000004</v>
      </c>
      <c r="AZ86" s="35">
        <f t="shared" si="18"/>
        <v>163796.96136000004</v>
      </c>
    </row>
    <row r="87" spans="49:52">
      <c r="AW87" s="35">
        <v>25</v>
      </c>
      <c r="AX87" s="91">
        <f t="shared" si="17"/>
        <v>163796.96136000004</v>
      </c>
      <c r="AZ87" s="35">
        <f t="shared" si="18"/>
        <v>163796.96136000004</v>
      </c>
    </row>
    <row r="92" spans="49:52">
      <c r="AW92" s="35" t="s">
        <v>127</v>
      </c>
    </row>
    <row r="93" spans="49:52">
      <c r="AW93" s="35" t="s">
        <v>128</v>
      </c>
      <c r="AX93" s="35">
        <v>0.1</v>
      </c>
    </row>
    <row r="94" spans="49:52">
      <c r="AW94" s="35" t="s">
        <v>129</v>
      </c>
      <c r="AX94" s="92">
        <f>AX95</f>
        <v>1511614.36</v>
      </c>
    </row>
    <row r="95" spans="49:52">
      <c r="AX95" s="92">
        <f>AQ39</f>
        <v>1511614.36</v>
      </c>
    </row>
    <row r="97" spans="49:50">
      <c r="AW97" s="35" t="s">
        <v>115</v>
      </c>
      <c r="AX97" s="93">
        <f>NPV(AX93,AZ62:AZ87)+AX94</f>
        <v>1489048.1901173519</v>
      </c>
    </row>
    <row r="98" spans="49:50">
      <c r="AW98" s="35" t="s">
        <v>131</v>
      </c>
      <c r="AX98" s="94">
        <f>IRR(AZ62:AZ87)</f>
        <v>9.7858587327175783E-2</v>
      </c>
    </row>
    <row r="99" spans="49:50">
      <c r="AW99" s="35" t="s">
        <v>131</v>
      </c>
      <c r="AX99" s="94">
        <f>IRR(AX62:AX87)</f>
        <v>9.7858587327175783E-2</v>
      </c>
    </row>
  </sheetData>
  <mergeCells count="5">
    <mergeCell ref="A1:AG1"/>
    <mergeCell ref="A3:T3"/>
    <mergeCell ref="U3:AG3"/>
    <mergeCell ref="AL43:AL44"/>
    <mergeCell ref="AM43:AM4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INICIO</vt:lpstr>
      <vt:lpstr>TABLA RESUMEN</vt:lpstr>
      <vt:lpstr>TABLA RESUMEN (Para memoria)</vt:lpstr>
      <vt:lpstr>LEYENDA</vt:lpstr>
      <vt:lpstr>Perfil Uso</vt:lpstr>
      <vt:lpstr>Hoja3</vt:lpstr>
      <vt:lpstr>Hoja2</vt:lpstr>
      <vt:lpstr>Número Luminaria</vt:lpstr>
      <vt:lpstr>'Número Luminaria'!Área_de_impresión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Ana</dc:creator>
  <cp:lastModifiedBy>igarcialegaz</cp:lastModifiedBy>
  <cp:lastPrinted>2016-08-03T11:34:55Z</cp:lastPrinted>
  <dcterms:created xsi:type="dcterms:W3CDTF">2015-06-07T12:32:59Z</dcterms:created>
  <dcterms:modified xsi:type="dcterms:W3CDTF">2016-08-05T08:18:46Z</dcterms:modified>
</cp:coreProperties>
</file>